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5" activeTab="7"/>
  </bookViews>
  <sheets>
    <sheet name="北近畿、中国地方ヒノキ" sheetId="1" r:id="rId1"/>
    <sheet name="南近畿、四国地方ヒノキ" sheetId="2" r:id="rId2"/>
    <sheet name="関東、中部地方ヒノキ " sheetId="3" r:id="rId3"/>
    <sheet name="北近畿、中国地方スギ" sheetId="4" r:id="rId4"/>
    <sheet name="南近畿、四国地方スギ" sheetId="5" r:id="rId5"/>
    <sheet name="南関東、東海地方スギ" sheetId="6" r:id="rId6"/>
    <sheet name="北関東、東山地方スギ" sheetId="7" r:id="rId7"/>
    <sheet name="近畿、山陽地方なら類、広葉樹" sheetId="8" r:id="rId8"/>
  </sheets>
  <definedNames>
    <definedName name="_xlnm.Print_Area" localSheetId="2">'関東、中部地方ヒノキ '!$A$1:$O$53</definedName>
    <definedName name="_xlnm.Print_Area" localSheetId="1">'南近畿、四国地方ヒノキ'!$A$1:$O$53</definedName>
    <definedName name="_xlnm.Print_Area" localSheetId="0">'北近畿、中国地方ヒノキ'!$A$1:$O$54</definedName>
  </definedNames>
  <calcPr fullCalcOnLoad="1"/>
</workbook>
</file>

<file path=xl/sharedStrings.xml><?xml version="1.0" encoding="utf-8"?>
<sst xmlns="http://schemas.openxmlformats.org/spreadsheetml/2006/main" count="988" uniqueCount="157">
  <si>
    <t>Ｎ</t>
  </si>
  <si>
    <t>ha当たり本数</t>
  </si>
  <si>
    <t>Ｈ</t>
  </si>
  <si>
    <t>上層樹高</t>
  </si>
  <si>
    <t>ｄ</t>
  </si>
  <si>
    <t>平均胸高直径</t>
  </si>
  <si>
    <t>ｌｏｇＮRf</t>
  </si>
  <si>
    <t>ＮRf</t>
  </si>
  <si>
    <t>Ｖ</t>
  </si>
  <si>
    <t>ＶRf</t>
  </si>
  <si>
    <t>Ｒｙ</t>
  </si>
  <si>
    <t>Ｒｙ２</t>
  </si>
  <si>
    <t>間伐後の収量比数</t>
  </si>
  <si>
    <t>Ｒｙ＝</t>
  </si>
  <si>
    <t>Ｖ／ＶRf</t>
  </si>
  <si>
    <t>＝</t>
  </si>
  <si>
    <t>Ｖ＝</t>
  </si>
  <si>
    <t>（</t>
  </si>
  <si>
    <t>×</t>
  </si>
  <si>
    <t>＋8524.5</t>
  </si>
  <si>
    <t>／</t>
  </si>
  <si>
    <t>）</t>
  </si>
  <si>
    <t>ＶＲｆ＝</t>
  </si>
  <si>
    <t>logＮRf＝</t>
  </si>
  <si>
    <t>－</t>
  </si>
  <si>
    <t>×ｌｏｇ</t>
  </si>
  <si>
    <t>ＮRf＝</t>
  </si>
  <si>
    <t>ヒノキ</t>
  </si>
  <si>
    <t>　</t>
  </si>
  <si>
    <t>ha</t>
  </si>
  <si>
    <t>本数調整伐方針</t>
  </si>
  <si>
    <t>（但し、長伐期施業の間伐は別途）</t>
  </si>
  <si>
    <t>本</t>
  </si>
  <si>
    <t>ｍ</t>
  </si>
  <si>
    <t>①目標Ｒｙを０．6とする</t>
  </si>
  <si>
    <t>㎝</t>
  </si>
  <si>
    <t>②１回の伐採のＲｙは0.15を上回らない。</t>
  </si>
  <si>
    <t>③伐採率の標準は３０％とする。</t>
  </si>
  <si>
    <t>形状比</t>
  </si>
  <si>
    <t>現在の収量比数</t>
  </si>
  <si>
    <t>伐採率</t>
  </si>
  <si>
    <t>伐採本数</t>
  </si>
  <si>
    <t>ha当り</t>
  </si>
  <si>
    <t>伐採後の本数</t>
  </si>
  <si>
    <t>（枝落とし本数）</t>
  </si>
  <si>
    <t>の間伐を行うと</t>
  </si>
  <si>
    <t>伐採後の本数は</t>
  </si>
  <si>
    <t>本</t>
  </si>
  <si>
    <t>＝</t>
  </si>
  <si>
    <r>
      <t>G</t>
    </r>
    <r>
      <rPr>
        <sz val="11"/>
        <rFont val="ＭＳ Ｐゴシック"/>
        <family val="3"/>
      </rPr>
      <t>=V/HF</t>
    </r>
  </si>
  <si>
    <r>
      <t>D</t>
    </r>
    <r>
      <rPr>
        <sz val="11"/>
        <rFont val="ＭＳ Ｐゴシック"/>
        <family val="3"/>
      </rPr>
      <t>g=200(G/(π*N))</t>
    </r>
    <r>
      <rPr>
        <vertAlign val="superscript"/>
        <sz val="11"/>
        <rFont val="ＭＳ Ｐゴシック"/>
        <family val="3"/>
      </rPr>
      <t>0.5</t>
    </r>
  </si>
  <si>
    <r>
      <t>d</t>
    </r>
    <r>
      <rPr>
        <sz val="11"/>
        <rFont val="ＭＳ Ｐゴシック"/>
        <family val="3"/>
      </rPr>
      <t>=-0.029001+0.991780Dg-0.036553N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*H/100</t>
    </r>
  </si>
  <si>
    <t>Ｎ：</t>
  </si>
  <si>
    <t>ha当たり本数</t>
  </si>
  <si>
    <r>
      <t>G:</t>
    </r>
    <r>
      <rPr>
        <sz val="11"/>
        <rFont val="ＭＳ Ｐゴシック"/>
        <family val="3"/>
      </rPr>
      <t>1ha当たり</t>
    </r>
    <r>
      <rPr>
        <sz val="11"/>
        <rFont val="ＭＳ Ｐゴシック"/>
        <family val="3"/>
      </rPr>
      <t>断面積</t>
    </r>
  </si>
  <si>
    <t>Ｈ：</t>
  </si>
  <si>
    <t>上層樹高</t>
  </si>
  <si>
    <t>Dｇ：断面積平均直径</t>
  </si>
  <si>
    <t>Ｖ：</t>
  </si>
  <si>
    <t>ha当たり材積</t>
  </si>
  <si>
    <t>d：平均胸高直径</t>
  </si>
  <si>
    <t>ＶRf：</t>
  </si>
  <si>
    <t>最多密度におけるha当たり材積</t>
  </si>
  <si>
    <t>HF：林分形状高</t>
  </si>
  <si>
    <t>ＮRf：</t>
  </si>
  <si>
    <t>最多密度におけるha当たり本数</t>
  </si>
  <si>
    <t>Ｒｙ：</t>
  </si>
  <si>
    <t>収量比数</t>
  </si>
  <si>
    <t>の間伐を行うと</t>
  </si>
  <si>
    <t>伐採後の本数は</t>
  </si>
  <si>
    <t>本</t>
  </si>
  <si>
    <t>スギ</t>
  </si>
  <si>
    <t>　</t>
  </si>
  <si>
    <t>ha</t>
  </si>
  <si>
    <t>(但し、長伐期施業の間伐は別途）</t>
  </si>
  <si>
    <t>①目標Ｒｙを０．６とする</t>
  </si>
  <si>
    <t>②１回の伐採のＲｙは0.２を上回らない。</t>
  </si>
  <si>
    <t>＋4725.2</t>
  </si>
  <si>
    <r>
      <t>H</t>
    </r>
    <r>
      <rPr>
        <sz val="11"/>
        <rFont val="ＭＳ Ｐゴシック"/>
        <family val="3"/>
      </rPr>
      <t>F</t>
    </r>
  </si>
  <si>
    <t>=</t>
  </si>
  <si>
    <r>
      <t>1.23249＋</t>
    </r>
    <r>
      <rPr>
        <sz val="11"/>
        <rFont val="ＭＳ Ｐゴシック"/>
        <family val="3"/>
      </rPr>
      <t>0.35958H+0.14730N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×H/１００</t>
    </r>
  </si>
  <si>
    <r>
      <t>G</t>
    </r>
    <r>
      <rPr>
        <sz val="11"/>
        <rFont val="ＭＳ Ｐゴシック"/>
        <family val="3"/>
      </rPr>
      <t>=V/HF</t>
    </r>
  </si>
  <si>
    <r>
      <t>D</t>
    </r>
    <r>
      <rPr>
        <sz val="11"/>
        <rFont val="ＭＳ Ｐゴシック"/>
        <family val="3"/>
      </rPr>
      <t>g=200(G/(π×N)）</t>
    </r>
    <r>
      <rPr>
        <vertAlign val="superscript"/>
        <sz val="11"/>
        <rFont val="ＭＳ Ｐゴシック"/>
        <family val="3"/>
      </rPr>
      <t>0.5</t>
    </r>
  </si>
  <si>
    <r>
      <t>d</t>
    </r>
    <r>
      <rPr>
        <sz val="11"/>
        <rFont val="ＭＳ Ｐゴシック"/>
        <family val="3"/>
      </rPr>
      <t>=-0.32087+0.98240Dg-0.04745N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×H/100</t>
    </r>
  </si>
  <si>
    <t>Ｎ：</t>
  </si>
  <si>
    <t>Ｈ：</t>
  </si>
  <si>
    <t>Ｖ：</t>
  </si>
  <si>
    <t>ＶRf：</t>
  </si>
  <si>
    <t>ＮRf：</t>
  </si>
  <si>
    <t>Ｒｙ：</t>
  </si>
  <si>
    <t>　</t>
  </si>
  <si>
    <t>ha</t>
  </si>
  <si>
    <r>
      <t>H</t>
    </r>
    <r>
      <rPr>
        <sz val="11"/>
        <rFont val="ＭＳ Ｐゴシック"/>
        <family val="3"/>
      </rPr>
      <t>F</t>
    </r>
  </si>
  <si>
    <t>=</t>
  </si>
  <si>
    <r>
      <t>G</t>
    </r>
    <r>
      <rPr>
        <sz val="11"/>
        <rFont val="ＭＳ Ｐゴシック"/>
        <family val="3"/>
      </rPr>
      <t>=V/HF</t>
    </r>
  </si>
  <si>
    <r>
      <t>D</t>
    </r>
    <r>
      <rPr>
        <sz val="11"/>
        <rFont val="ＭＳ Ｐゴシック"/>
        <family val="3"/>
      </rPr>
      <t>g=200(G/(π×N)）</t>
    </r>
    <r>
      <rPr>
        <vertAlign val="superscript"/>
        <sz val="11"/>
        <rFont val="ＭＳ Ｐゴシック"/>
        <family val="3"/>
      </rPr>
      <t>0.5</t>
    </r>
  </si>
  <si>
    <t>Ｎ：</t>
  </si>
  <si>
    <t>広葉樹</t>
  </si>
  <si>
    <t>森林整備伐方針</t>
  </si>
  <si>
    <t>+15954.1</t>
  </si>
  <si>
    <r>
      <t>l</t>
    </r>
    <r>
      <rPr>
        <sz val="11"/>
        <rFont val="ＭＳ Ｐゴシック"/>
        <family val="3"/>
      </rPr>
      <t>og</t>
    </r>
    <r>
      <rPr>
        <sz val="11"/>
        <rFont val="ＭＳ Ｐゴシック"/>
        <family val="3"/>
      </rPr>
      <t>ＶＲｆ＝</t>
    </r>
  </si>
  <si>
    <t>-</t>
  </si>
  <si>
    <r>
      <t>×l</t>
    </r>
    <r>
      <rPr>
        <sz val="11"/>
        <rFont val="ＭＳ Ｐゴシック"/>
        <family val="3"/>
      </rPr>
      <t>ogNRf)</t>
    </r>
  </si>
  <si>
    <t>-</t>
  </si>
  <si>
    <t>×</t>
  </si>
  <si>
    <t>)</t>
  </si>
  <si>
    <t>=</t>
  </si>
  <si>
    <r>
      <t>0.941865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0.349206H+0.095344N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×H/１００</t>
    </r>
  </si>
  <si>
    <r>
      <t>d</t>
    </r>
    <r>
      <rPr>
        <sz val="11"/>
        <rFont val="ＭＳ Ｐゴシック"/>
        <family val="3"/>
      </rPr>
      <t>=0.053200+0.945564Dg-0.067716N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×H/100</t>
    </r>
  </si>
  <si>
    <t>ヒノキ</t>
  </si>
  <si>
    <t>ha</t>
  </si>
  <si>
    <t>+7663.1</t>
  </si>
  <si>
    <r>
      <t>H</t>
    </r>
    <r>
      <rPr>
        <sz val="11"/>
        <rFont val="ＭＳ Ｐゴシック"/>
        <family val="3"/>
      </rPr>
      <t>F(形状高）=0.320738+0.437334H+0.153257N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*H/100</t>
    </r>
  </si>
  <si>
    <r>
      <t>d</t>
    </r>
    <r>
      <rPr>
        <sz val="11"/>
        <rFont val="ＭＳ Ｐゴシック"/>
        <family val="3"/>
      </rPr>
      <t>=-0.241667+0.992603Dg</t>
    </r>
  </si>
  <si>
    <r>
      <t>H</t>
    </r>
    <r>
      <rPr>
        <sz val="11"/>
        <rFont val="ＭＳ Ｐゴシック"/>
        <family val="3"/>
      </rPr>
      <t>F(形状高）=-0.089118+0.463818H+0.178773N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*H/100</t>
    </r>
  </si>
  <si>
    <t>＝</t>
  </si>
  <si>
    <t>スギ</t>
  </si>
  <si>
    <t>　</t>
  </si>
  <si>
    <t>ha</t>
  </si>
  <si>
    <t>＝</t>
  </si>
  <si>
    <r>
      <t>＋</t>
    </r>
    <r>
      <rPr>
        <sz val="11"/>
        <rFont val="ＭＳ Ｐゴシック"/>
        <family val="3"/>
      </rPr>
      <t>5065</t>
    </r>
  </si>
  <si>
    <r>
      <t>1.</t>
    </r>
    <r>
      <rPr>
        <sz val="11"/>
        <rFont val="ＭＳ Ｐゴシック"/>
        <family val="3"/>
      </rPr>
      <t>273477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0.36758H+0.140427×N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×H/１００</t>
    </r>
  </si>
  <si>
    <r>
      <t>d</t>
    </r>
    <r>
      <rPr>
        <sz val="11"/>
        <rFont val="ＭＳ Ｐゴシック"/>
        <family val="3"/>
      </rPr>
      <t>=-0.15213+0.985016Dg-0.028142N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×H/100</t>
    </r>
  </si>
  <si>
    <t>スギ</t>
  </si>
  <si>
    <t>　</t>
  </si>
  <si>
    <t>ha</t>
  </si>
  <si>
    <r>
      <t>＋</t>
    </r>
    <r>
      <rPr>
        <sz val="11"/>
        <rFont val="ＭＳ Ｐゴシック"/>
        <family val="3"/>
      </rPr>
      <t>3681.6</t>
    </r>
  </si>
  <si>
    <r>
      <t>0.808545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0.402345H+0.140882×N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×H/１００</t>
    </r>
  </si>
  <si>
    <r>
      <t>d</t>
    </r>
    <r>
      <rPr>
        <sz val="11"/>
        <rFont val="ＭＳ Ｐゴシック"/>
        <family val="3"/>
      </rPr>
      <t>=-0.000379+0.981298Dg-0.028497N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×H/100</t>
    </r>
  </si>
  <si>
    <t>　</t>
  </si>
  <si>
    <t>ha</t>
  </si>
  <si>
    <r>
      <t>＋</t>
    </r>
    <r>
      <rPr>
        <sz val="11"/>
        <rFont val="ＭＳ Ｐゴシック"/>
        <family val="3"/>
      </rPr>
      <t>5062</t>
    </r>
  </si>
  <si>
    <r>
      <t>d</t>
    </r>
    <r>
      <rPr>
        <sz val="11"/>
        <rFont val="ＭＳ Ｐゴシック"/>
        <family val="3"/>
      </rPr>
      <t>=-0.193943+0.987164Dg-0.090657N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×H/100</t>
    </r>
  </si>
  <si>
    <r>
      <t>0.</t>
    </r>
    <r>
      <rPr>
        <sz val="11"/>
        <rFont val="ＭＳ Ｐゴシック"/>
        <family val="3"/>
      </rPr>
      <t>650787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0.4１7356H+0.138768×N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×H/１００</t>
    </r>
  </si>
  <si>
    <t>ha</t>
  </si>
  <si>
    <r>
      <t>+</t>
    </r>
    <r>
      <rPr>
        <sz val="11"/>
        <rFont val="ＭＳ Ｐゴシック"/>
        <family val="3"/>
      </rPr>
      <t>4711.2</t>
    </r>
  </si>
  <si>
    <r>
      <t>d</t>
    </r>
    <r>
      <rPr>
        <sz val="11"/>
        <rFont val="ＭＳ Ｐゴシック"/>
        <family val="3"/>
      </rPr>
      <t>=-0.115479+0.984423Dg</t>
    </r>
  </si>
  <si>
    <r>
      <t>H</t>
    </r>
    <r>
      <rPr>
        <sz val="11"/>
        <rFont val="ＭＳ Ｐゴシック"/>
        <family val="3"/>
      </rPr>
      <t>F(形状高）=-0.052817+0.472577H+0.123506N</t>
    </r>
    <r>
      <rPr>
        <vertAlign val="superscript"/>
        <sz val="11"/>
        <rFont val="ＭＳ Ｐゴシック"/>
        <family val="3"/>
      </rPr>
      <t>0.5</t>
    </r>
    <r>
      <rPr>
        <sz val="11"/>
        <rFont val="ＭＳ Ｐゴシック"/>
        <family val="3"/>
      </rPr>
      <t>*H/100</t>
    </r>
  </si>
  <si>
    <r>
      <t>V</t>
    </r>
    <r>
      <rPr>
        <sz val="11"/>
        <rFont val="ＭＳ Ｐゴシック"/>
        <family val="3"/>
      </rPr>
      <t>'＝</t>
    </r>
  </si>
  <si>
    <t>Ｎ’</t>
  </si>
  <si>
    <t>＝</t>
  </si>
  <si>
    <r>
      <t>R</t>
    </r>
    <r>
      <rPr>
        <sz val="11"/>
        <rFont val="ＭＳ Ｐゴシック"/>
        <family val="3"/>
      </rPr>
      <t>y2=</t>
    </r>
  </si>
  <si>
    <r>
      <t>V</t>
    </r>
    <r>
      <rPr>
        <sz val="11"/>
        <rFont val="ＭＳ Ｐゴシック"/>
        <family val="3"/>
      </rPr>
      <t>'/VRf</t>
    </r>
  </si>
  <si>
    <t>=</t>
  </si>
  <si>
    <t>Ｎ'＝</t>
  </si>
  <si>
    <t>Ｎ'＝</t>
  </si>
  <si>
    <r>
      <t>V</t>
    </r>
    <r>
      <rPr>
        <sz val="11"/>
        <rFont val="ＭＳ Ｐゴシック"/>
        <family val="3"/>
      </rPr>
      <t>'=</t>
    </r>
  </si>
  <si>
    <t>Ｎ'</t>
  </si>
  <si>
    <r>
      <t>V</t>
    </r>
    <r>
      <rPr>
        <sz val="11"/>
        <rFont val="ＭＳ Ｐゴシック"/>
        <family val="3"/>
      </rPr>
      <t>'=</t>
    </r>
  </si>
  <si>
    <r>
      <t>＋</t>
    </r>
    <r>
      <rPr>
        <sz val="11"/>
        <rFont val="ＭＳ Ｐゴシック"/>
        <family val="3"/>
      </rPr>
      <t>5065</t>
    </r>
  </si>
  <si>
    <r>
      <t>V</t>
    </r>
    <r>
      <rPr>
        <sz val="11"/>
        <rFont val="ＭＳ Ｐゴシック"/>
        <family val="3"/>
      </rPr>
      <t>'/NRf</t>
    </r>
  </si>
  <si>
    <r>
      <t>V</t>
    </r>
    <r>
      <rPr>
        <sz val="11"/>
        <rFont val="ＭＳ Ｐゴシック"/>
        <family val="3"/>
      </rPr>
      <t>'/NRf</t>
    </r>
  </si>
  <si>
    <r>
      <t>V</t>
    </r>
    <r>
      <rPr>
        <sz val="11"/>
        <rFont val="ＭＳ Ｐゴシック"/>
        <family val="3"/>
      </rPr>
      <t>Rf=</t>
    </r>
  </si>
  <si>
    <t>所在地名</t>
  </si>
  <si>
    <t>林分名</t>
  </si>
  <si>
    <t>所在地名</t>
  </si>
  <si>
    <t>所在地名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</si>
</sst>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0_ "/>
    <numFmt numFmtId="180" formatCode="0.000_ "/>
    <numFmt numFmtId="181" formatCode="0.0"/>
    <numFmt numFmtId="182" formatCode="#,##0.0;[Red]\-#,##0.0"/>
    <numFmt numFmtId="183" formatCode="#,##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_);[Red]\(0\)"/>
    <numFmt numFmtId="193" formatCode="0.00_);[Red]\(0.00\)"/>
    <numFmt numFmtId="194" formatCode="&quot;\&quot;#,##0.0;&quot;\&quot;\-#,##0.0"/>
    <numFmt numFmtId="195" formatCode="[&lt;=999]000;[&lt;=99999]000\-00;000\-0000"/>
    <numFmt numFmtId="196" formatCode="#,##0_);\(#,##0\)"/>
    <numFmt numFmtId="197" formatCode="#,##0.00_);\(#,##0.00\)"/>
    <numFmt numFmtId="198" formatCode="#,##0_);[Red]\(#,##0\)"/>
    <numFmt numFmtId="199" formatCode="0.0_);[Red]\(0.0\)"/>
    <numFmt numFmtId="200" formatCode="0._ "/>
    <numFmt numFmtId="201" formatCode="0.0000000_ "/>
    <numFmt numFmtId="202" formatCode="0;&quot;△ &quot;0"/>
    <numFmt numFmtId="203" formatCode="0.00;&quot;△ &quot;0.00"/>
    <numFmt numFmtId="204" formatCode="0.0%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#,##0.0_ ;[Red]\-#,##0.0\ "/>
    <numFmt numFmtId="211" formatCode="0.0000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2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2" fontId="0" fillId="0" borderId="0" xfId="21" applyNumberFormat="1">
      <alignment/>
      <protection/>
    </xf>
    <xf numFmtId="0" fontId="5" fillId="0" borderId="0" xfId="21" applyFont="1">
      <alignment/>
      <protection/>
    </xf>
    <xf numFmtId="0" fontId="0" fillId="0" borderId="1" xfId="21" applyBorder="1" applyAlignment="1">
      <alignment horizontal="center"/>
      <protection/>
    </xf>
    <xf numFmtId="0" fontId="0" fillId="0" borderId="2" xfId="21" applyBorder="1">
      <alignment/>
      <protection/>
    </xf>
    <xf numFmtId="0" fontId="6" fillId="0" borderId="1" xfId="21" applyFont="1" applyBorder="1" applyAlignment="1">
      <alignment horizontal="center"/>
      <protection/>
    </xf>
    <xf numFmtId="38" fontId="4" fillId="2" borderId="2" xfId="17" applyFont="1" applyFill="1" applyBorder="1" applyAlignment="1">
      <alignment/>
    </xf>
    <xf numFmtId="0" fontId="6" fillId="0" borderId="3" xfId="21" applyFont="1" applyBorder="1">
      <alignment/>
      <protection/>
    </xf>
    <xf numFmtId="176" fontId="4" fillId="2" borderId="2" xfId="21" applyNumberFormat="1" applyFont="1" applyFill="1" applyBorder="1">
      <alignment/>
      <protection/>
    </xf>
    <xf numFmtId="0" fontId="6" fillId="0" borderId="0" xfId="21" applyFont="1">
      <alignment/>
      <protection/>
    </xf>
    <xf numFmtId="176" fontId="4" fillId="0" borderId="1" xfId="21" applyNumberFormat="1" applyFont="1" applyBorder="1" applyAlignment="1">
      <alignment horizontal="right"/>
      <protection/>
    </xf>
    <xf numFmtId="0" fontId="0" fillId="0" borderId="3" xfId="21" applyFont="1" applyBorder="1" applyAlignment="1">
      <alignment horizontal="right"/>
      <protection/>
    </xf>
    <xf numFmtId="0" fontId="7" fillId="0" borderId="0" xfId="21" applyFont="1">
      <alignment/>
      <protection/>
    </xf>
    <xf numFmtId="179" fontId="0" fillId="0" borderId="2" xfId="21" applyNumberFormat="1" applyBorder="1">
      <alignment/>
      <protection/>
    </xf>
    <xf numFmtId="0" fontId="0" fillId="0" borderId="0" xfId="2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Alignment="1">
      <alignment horizontal="right"/>
      <protection/>
    </xf>
    <xf numFmtId="0" fontId="6" fillId="0" borderId="2" xfId="21" applyFont="1" applyBorder="1">
      <alignment/>
      <protection/>
    </xf>
    <xf numFmtId="0" fontId="6" fillId="0" borderId="1" xfId="21" applyFont="1" applyBorder="1">
      <alignment/>
      <protection/>
    </xf>
    <xf numFmtId="9" fontId="4" fillId="2" borderId="2" xfId="21" applyNumberFormat="1" applyFont="1" applyFill="1" applyBorder="1">
      <alignment/>
      <protection/>
    </xf>
    <xf numFmtId="0" fontId="6" fillId="3" borderId="1" xfId="21" applyFont="1" applyFill="1" applyBorder="1" applyAlignment="1">
      <alignment horizontal="center"/>
      <protection/>
    </xf>
    <xf numFmtId="0" fontId="6" fillId="3" borderId="2" xfId="21" applyFont="1" applyFill="1" applyBorder="1">
      <alignment/>
      <protection/>
    </xf>
    <xf numFmtId="0" fontId="6" fillId="3" borderId="1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177" fontId="0" fillId="3" borderId="2" xfId="21" applyNumberFormat="1" applyFont="1" applyFill="1" applyBorder="1">
      <alignment/>
      <protection/>
    </xf>
    <xf numFmtId="0" fontId="8" fillId="0" borderId="0" xfId="21" applyNumberFormat="1" applyFont="1" applyAlignment="1">
      <alignment horizontal="left"/>
      <protection/>
    </xf>
    <xf numFmtId="0" fontId="0" fillId="0" borderId="0" xfId="21" quotePrefix="1">
      <alignment/>
      <protection/>
    </xf>
    <xf numFmtId="0" fontId="8" fillId="0" borderId="0" xfId="21" applyFont="1" applyAlignment="1">
      <alignment horizontal="left"/>
      <protection/>
    </xf>
    <xf numFmtId="0" fontId="0" fillId="0" borderId="0" xfId="21" applyAlignment="1" quotePrefix="1">
      <alignment horizontal="right"/>
      <protection/>
    </xf>
    <xf numFmtId="176" fontId="0" fillId="0" borderId="0" xfId="21" applyNumberFormat="1">
      <alignment/>
      <protection/>
    </xf>
    <xf numFmtId="38" fontId="0" fillId="0" borderId="0" xfId="21" applyNumberFormat="1">
      <alignment/>
      <protection/>
    </xf>
    <xf numFmtId="0" fontId="0" fillId="0" borderId="0" xfId="21" applyAlignment="1">
      <alignment horizontal="left"/>
      <protection/>
    </xf>
    <xf numFmtId="9" fontId="0" fillId="0" borderId="0" xfId="21" applyNumberFormat="1">
      <alignment/>
      <protection/>
    </xf>
    <xf numFmtId="196" fontId="0" fillId="4" borderId="0" xfId="21" applyNumberFormat="1" applyFill="1">
      <alignment/>
      <protection/>
    </xf>
    <xf numFmtId="196" fontId="0" fillId="0" borderId="0" xfId="21" applyNumberFormat="1" applyAlignment="1">
      <alignment horizontal="center"/>
      <protection/>
    </xf>
    <xf numFmtId="0" fontId="8" fillId="0" borderId="0" xfId="21" applyFont="1">
      <alignment/>
      <protection/>
    </xf>
    <xf numFmtId="203" fontId="9" fillId="0" borderId="0" xfId="21" applyNumberFormat="1" applyFont="1">
      <alignment/>
      <protection/>
    </xf>
    <xf numFmtId="203" fontId="9" fillId="0" borderId="0" xfId="21" applyNumberFormat="1" applyFont="1" applyAlignment="1">
      <alignment horizontal="center"/>
      <protection/>
    </xf>
    <xf numFmtId="203" fontId="0" fillId="0" borderId="0" xfId="21" applyNumberFormat="1" applyFont="1">
      <alignment/>
      <protection/>
    </xf>
    <xf numFmtId="0" fontId="0" fillId="5" borderId="0" xfId="21" applyFill="1">
      <alignment/>
      <protection/>
    </xf>
    <xf numFmtId="0" fontId="4" fillId="0" borderId="0" xfId="21" applyFont="1">
      <alignment/>
      <protection/>
    </xf>
    <xf numFmtId="0" fontId="0" fillId="6" borderId="4" xfId="21" applyFill="1" applyBorder="1">
      <alignment/>
      <protection/>
    </xf>
    <xf numFmtId="0" fontId="0" fillId="6" borderId="5" xfId="21" applyFont="1" applyFill="1" applyBorder="1">
      <alignment/>
      <protection/>
    </xf>
    <xf numFmtId="0" fontId="4" fillId="6" borderId="6" xfId="21" applyFont="1" applyFill="1" applyBorder="1">
      <alignment/>
      <protection/>
    </xf>
    <xf numFmtId="0" fontId="0" fillId="0" borderId="7" xfId="21" applyFont="1" applyFill="1" applyBorder="1" applyAlignme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/>
      <protection/>
    </xf>
    <xf numFmtId="211" fontId="0" fillId="0" borderId="0" xfId="21" applyNumberFormat="1">
      <alignment/>
      <protection/>
    </xf>
    <xf numFmtId="201" fontId="0" fillId="0" borderId="0" xfId="21" applyNumberFormat="1" applyAlignment="1">
      <alignment horizontal="right"/>
      <protection/>
    </xf>
    <xf numFmtId="0" fontId="0" fillId="0" borderId="0" xfId="21" applyFont="1" quotePrefix="1">
      <alignment/>
      <protection/>
    </xf>
    <xf numFmtId="0" fontId="0" fillId="0" borderId="0" xfId="21" applyFont="1">
      <alignment/>
      <protection/>
    </xf>
    <xf numFmtId="0" fontId="0" fillId="0" borderId="0" xfId="21" applyNumberFormat="1" applyFont="1" applyAlignment="1">
      <alignment horizontal="left"/>
      <protection/>
    </xf>
    <xf numFmtId="179" fontId="0" fillId="0" borderId="0" xfId="21" applyNumberFormat="1" quotePrefix="1">
      <alignment/>
      <protection/>
    </xf>
    <xf numFmtId="0" fontId="0" fillId="0" borderId="0" xfId="21" applyFont="1" quotePrefix="1">
      <alignment/>
      <protection/>
    </xf>
    <xf numFmtId="211" fontId="0" fillId="0" borderId="0" xfId="21" applyNumberFormat="1" applyAlignment="1">
      <alignment horizontal="right"/>
      <protection/>
    </xf>
    <xf numFmtId="0" fontId="6" fillId="0" borderId="1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176" fontId="0" fillId="0" borderId="0" xfId="21" applyNumberFormat="1" applyAlignment="1">
      <alignment horizontal="left"/>
      <protection/>
    </xf>
    <xf numFmtId="179" fontId="0" fillId="0" borderId="0" xfId="21" applyNumberFormat="1">
      <alignment/>
      <protection/>
    </xf>
    <xf numFmtId="0" fontId="0" fillId="4" borderId="0" xfId="21" applyFill="1">
      <alignment/>
      <protection/>
    </xf>
    <xf numFmtId="179" fontId="0" fillId="4" borderId="0" xfId="21" applyNumberFormat="1" applyFill="1">
      <alignment/>
      <protection/>
    </xf>
    <xf numFmtId="0" fontId="0" fillId="4" borderId="0" xfId="21" applyFont="1" applyFill="1">
      <alignment/>
      <protection/>
    </xf>
    <xf numFmtId="179" fontId="4" fillId="0" borderId="2" xfId="21" applyNumberFormat="1" applyFont="1" applyBorder="1">
      <alignment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Fill="1" applyAlignment="1">
      <alignment horizontal="center"/>
      <protection/>
    </xf>
    <xf numFmtId="176" fontId="0" fillId="0" borderId="2" xfId="21" applyNumberFormat="1" applyBorder="1">
      <alignment/>
      <protection/>
    </xf>
    <xf numFmtId="0" fontId="0" fillId="4" borderId="0" xfId="21" applyFill="1" applyAlignment="1">
      <alignment horizontal="center"/>
      <protection/>
    </xf>
    <xf numFmtId="179" fontId="0" fillId="4" borderId="0" xfId="21" applyNumberFormat="1" applyFill="1" applyAlignment="1">
      <alignment horizontal="center"/>
      <protection/>
    </xf>
    <xf numFmtId="0" fontId="0" fillId="6" borderId="4" xfId="21" applyFill="1" applyBorder="1" applyAlignment="1">
      <alignment horizontal="center"/>
      <protection/>
    </xf>
    <xf numFmtId="0" fontId="0" fillId="6" borderId="5" xfId="21" applyFill="1" applyBorder="1" applyAlignment="1">
      <alignment horizontal="center"/>
      <protection/>
    </xf>
    <xf numFmtId="0" fontId="0" fillId="6" borderId="6" xfId="21" applyFill="1" applyBorder="1" applyAlignment="1">
      <alignment horizontal="center"/>
      <protection/>
    </xf>
    <xf numFmtId="0" fontId="0" fillId="6" borderId="8" xfId="21" applyFill="1" applyBorder="1" applyAlignment="1">
      <alignment horizontal="center"/>
      <protection/>
    </xf>
    <xf numFmtId="0" fontId="0" fillId="6" borderId="9" xfId="21" applyFill="1" applyBorder="1" applyAlignment="1">
      <alignment horizontal="center"/>
      <protection/>
    </xf>
    <xf numFmtId="0" fontId="0" fillId="6" borderId="10" xfId="2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6" fillId="3" borderId="2" xfId="21" applyFont="1" applyFill="1" applyBorder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0" fillId="0" borderId="0" xfId="21" applyAlignment="1">
      <alignment horizontal="right"/>
      <protection/>
    </xf>
    <xf numFmtId="179" fontId="0" fillId="4" borderId="0" xfId="21" applyNumberFormat="1" applyFont="1" applyFill="1" applyAlignment="1">
      <alignment horizontal="center"/>
      <protection/>
    </xf>
    <xf numFmtId="0" fontId="0" fillId="4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179" fontId="0" fillId="0" borderId="0" xfId="21" applyNumberFormat="1" applyFont="1" applyFill="1" applyAlignment="1">
      <alignment horizontal="center"/>
      <protection/>
    </xf>
    <xf numFmtId="179" fontId="0" fillId="0" borderId="0" xfId="21" applyNumberFormat="1" applyFill="1" applyAlignment="1">
      <alignment horizontal="center"/>
      <protection/>
    </xf>
    <xf numFmtId="0" fontId="4" fillId="0" borderId="7" xfId="21" applyFont="1" applyFill="1" applyBorder="1" applyAlignment="1">
      <alignment horizontal="center"/>
      <protection/>
    </xf>
    <xf numFmtId="179" fontId="0" fillId="0" borderId="0" xfId="21" applyNumberForma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総合ブック六甲　唐櫃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S55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10.50390625" style="3" bestFit="1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7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7" ht="14.25" thickBot="1">
      <c r="A1" s="80" t="s">
        <v>27</v>
      </c>
      <c r="B1" s="81"/>
      <c r="C1" s="2" t="s">
        <v>156</v>
      </c>
      <c r="D1" s="74"/>
      <c r="E1" s="75"/>
      <c r="F1" s="75"/>
      <c r="G1" s="76"/>
    </row>
    <row r="2" spans="1:10" ht="14.25" thickBot="1">
      <c r="A2" s="4" t="s">
        <v>28</v>
      </c>
      <c r="C2" s="2" t="s">
        <v>154</v>
      </c>
      <c r="D2" s="77"/>
      <c r="E2" s="78"/>
      <c r="F2" s="79"/>
      <c r="G2" s="5"/>
      <c r="H2" s="3" t="s">
        <v>29</v>
      </c>
      <c r="J2" s="6" t="s">
        <v>30</v>
      </c>
    </row>
    <row r="3" ht="13.5">
      <c r="J3" s="2" t="s">
        <v>31</v>
      </c>
    </row>
    <row r="4" spans="3:13" ht="13.5">
      <c r="C4" s="7" t="s">
        <v>0</v>
      </c>
      <c r="D4" s="8"/>
      <c r="E4" s="61" t="s">
        <v>1</v>
      </c>
      <c r="F4" s="62"/>
      <c r="G4" s="10"/>
      <c r="H4" s="11" t="s">
        <v>32</v>
      </c>
      <c r="M4" s="2"/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34</v>
      </c>
    </row>
    <row r="6" spans="3:10" ht="13.5">
      <c r="C6" s="7" t="s">
        <v>4</v>
      </c>
      <c r="D6" s="8"/>
      <c r="E6" s="61" t="s">
        <v>5</v>
      </c>
      <c r="F6" s="62"/>
      <c r="G6" s="14" t="e">
        <f>I46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ROUND(5.852583-1.955594*LOG($G$5),2)</f>
        <v>#NUM!</v>
      </c>
      <c r="H7" s="11"/>
      <c r="J7" s="13" t="s">
        <v>36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19" ht="13.5">
      <c r="C9" s="7" t="s">
        <v>8</v>
      </c>
      <c r="D9" s="8"/>
      <c r="E9" s="61"/>
      <c r="F9" s="62"/>
      <c r="G9" s="8" t="e">
        <f>ROUND(POWER((0.0390819*POWER($G$5,-1.147348)+8524.5*POWER($G$5,-3.102942)/$G$4),-1),2)</f>
        <v>#DIV/0!</v>
      </c>
      <c r="H9" s="11"/>
      <c r="S9" s="18"/>
    </row>
    <row r="10" spans="3:14" ht="13.5">
      <c r="C10" s="7" t="s">
        <v>9</v>
      </c>
      <c r="D10" s="8"/>
      <c r="E10" s="61"/>
      <c r="F10" s="62"/>
      <c r="G10" s="8" t="e">
        <f>ROUND(POWER((0.0390819*POWER($G$5,-1.147348)+8524.5*POWER($G$5,-3.102942)/$G$8),-1),2)</f>
        <v>#DIV/0!</v>
      </c>
      <c r="H10" s="11"/>
      <c r="J10" s="19" t="s">
        <v>38</v>
      </c>
      <c r="K10" s="90" t="e">
        <f>ROUND(G5/G6*100,0)</f>
        <v>#DIV/0!</v>
      </c>
      <c r="L10" s="90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E39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54">
        <v>0.0390819</v>
      </c>
      <c r="D21" s="3" t="s">
        <v>18</v>
      </c>
      <c r="E21" s="1" t="s">
        <v>2</v>
      </c>
      <c r="F21" s="30">
        <v>-1.147348</v>
      </c>
      <c r="G21" s="31" t="s">
        <v>19</v>
      </c>
      <c r="H21" s="3" t="s">
        <v>18</v>
      </c>
      <c r="I21" s="1" t="s">
        <v>2</v>
      </c>
      <c r="J21" s="32">
        <v>-3.102942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0.0390819</v>
      </c>
      <c r="D22" s="3" t="s">
        <v>18</v>
      </c>
      <c r="E22" s="34">
        <f>$G$5</f>
        <v>0</v>
      </c>
      <c r="F22" s="30">
        <f>F21</f>
        <v>-1.147348</v>
      </c>
      <c r="G22" s="31" t="s">
        <v>19</v>
      </c>
      <c r="H22" s="3" t="s">
        <v>18</v>
      </c>
      <c r="I22" s="34">
        <f>$G$5</f>
        <v>0</v>
      </c>
      <c r="J22" s="32">
        <v>-3.102942</v>
      </c>
      <c r="K22" s="3" t="s">
        <v>20</v>
      </c>
      <c r="L22" s="35">
        <f>$G$4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21" t="s">
        <v>22</v>
      </c>
      <c r="B25" s="3" t="s">
        <v>17</v>
      </c>
      <c r="C25" s="3">
        <v>0.0390819</v>
      </c>
      <c r="D25" s="3" t="s">
        <v>18</v>
      </c>
      <c r="E25" s="1" t="s">
        <v>2</v>
      </c>
      <c r="F25" s="30">
        <v>-1.147348</v>
      </c>
      <c r="G25" s="31" t="s">
        <v>19</v>
      </c>
      <c r="H25" s="3" t="s">
        <v>18</v>
      </c>
      <c r="I25" s="1" t="s">
        <v>2</v>
      </c>
      <c r="J25" s="32">
        <v>-3.102942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3">
        <v>0.0390819</v>
      </c>
      <c r="D26" s="3" t="s">
        <v>18</v>
      </c>
      <c r="E26" s="34">
        <f>$G$5</f>
        <v>0</v>
      </c>
      <c r="F26" s="30">
        <v>-1.147348</v>
      </c>
      <c r="G26" s="31" t="s">
        <v>19</v>
      </c>
      <c r="H26" s="3" t="s">
        <v>18</v>
      </c>
      <c r="I26" s="34">
        <f>$G$5</f>
        <v>0</v>
      </c>
      <c r="J26" s="32">
        <v>-3.102942</v>
      </c>
      <c r="K26" s="3" t="s">
        <v>20</v>
      </c>
      <c r="L26" s="3" t="e">
        <f>$B$33</f>
        <v>#NUM!</v>
      </c>
      <c r="M26" s="3" t="s">
        <v>21</v>
      </c>
      <c r="N26" s="32">
        <v>-1</v>
      </c>
    </row>
    <row r="27" spans="1:3" ht="13.5">
      <c r="A27" s="33" t="s">
        <v>15</v>
      </c>
      <c r="B27" s="72" t="e">
        <f>G10</f>
        <v>#DIV/0!</v>
      </c>
      <c r="C27" s="72"/>
    </row>
    <row r="29" spans="1:8" ht="13.5">
      <c r="A29" s="21" t="s">
        <v>23</v>
      </c>
      <c r="B29" s="81">
        <v>5.852583</v>
      </c>
      <c r="C29" s="81"/>
      <c r="D29" s="3" t="s">
        <v>24</v>
      </c>
      <c r="E29" s="81">
        <v>1.955594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5.852583</v>
      </c>
      <c r="C30" s="81"/>
      <c r="D30" s="3" t="s">
        <v>24</v>
      </c>
      <c r="E30" s="81">
        <f>E29</f>
        <v>1.955594</v>
      </c>
      <c r="F30" s="81"/>
      <c r="G30" s="3" t="s">
        <v>25</v>
      </c>
      <c r="H30" s="63">
        <f>$G$5</f>
        <v>0</v>
      </c>
      <c r="I30" s="85"/>
    </row>
    <row r="31" spans="1:3" ht="13.5">
      <c r="A31" s="21" t="s">
        <v>15</v>
      </c>
      <c r="B31" s="73" t="e">
        <f>G7</f>
        <v>#NUM!</v>
      </c>
      <c r="C31" s="72"/>
    </row>
    <row r="33" spans="1:3" ht="13.5">
      <c r="A33" s="21" t="s">
        <v>26</v>
      </c>
      <c r="B33" s="72" t="e">
        <f>G8</f>
        <v>#NUM!</v>
      </c>
      <c r="C33" s="72"/>
    </row>
    <row r="35" spans="1:5" ht="13.5">
      <c r="A35" s="37">
        <f>+G13</f>
        <v>0</v>
      </c>
      <c r="B35" s="3" t="s">
        <v>45</v>
      </c>
      <c r="E35" s="3" t="s">
        <v>46</v>
      </c>
    </row>
    <row r="36" spans="1:4" ht="13.5">
      <c r="A36" s="86" t="s">
        <v>144</v>
      </c>
      <c r="B36" s="87"/>
      <c r="C36" s="38">
        <f>G15</f>
        <v>0</v>
      </c>
      <c r="D36" s="3" t="s">
        <v>47</v>
      </c>
    </row>
    <row r="37" spans="1:15" ht="15.75">
      <c r="A37" s="50" t="s">
        <v>138</v>
      </c>
      <c r="B37" s="3" t="s">
        <v>17</v>
      </c>
      <c r="C37" s="54">
        <v>0.0390819</v>
      </c>
      <c r="D37" s="3" t="s">
        <v>18</v>
      </c>
      <c r="E37" s="1" t="s">
        <v>2</v>
      </c>
      <c r="F37" s="30">
        <v>-1.147348</v>
      </c>
      <c r="G37" s="31" t="s">
        <v>19</v>
      </c>
      <c r="H37" s="3" t="s">
        <v>18</v>
      </c>
      <c r="I37" s="1" t="s">
        <v>2</v>
      </c>
      <c r="J37" s="32">
        <v>-3.102942</v>
      </c>
      <c r="K37" s="3" t="s">
        <v>20</v>
      </c>
      <c r="L37" s="52" t="s">
        <v>139</v>
      </c>
      <c r="M37" s="3" t="s">
        <v>21</v>
      </c>
      <c r="N37" s="32">
        <v>-1</v>
      </c>
      <c r="O37" s="32"/>
    </row>
    <row r="38" spans="1:14" ht="15.75">
      <c r="A38" s="50" t="s">
        <v>140</v>
      </c>
      <c r="B38" s="72" t="e">
        <f>ROUND(POWER((C37*POWER(G5,F37)+G37*POWER(G5,J37)/C36),N37),2)</f>
        <v>#DIV/0!</v>
      </c>
      <c r="C38" s="72"/>
      <c r="E38" s="1"/>
      <c r="F38" s="30"/>
      <c r="G38" s="31"/>
      <c r="I38" s="1"/>
      <c r="J38" s="32"/>
      <c r="L38" s="1"/>
      <c r="N38" s="32"/>
    </row>
    <row r="39" spans="1:14" ht="15.75">
      <c r="A39" s="50" t="s">
        <v>141</v>
      </c>
      <c r="C39" s="2" t="s">
        <v>142</v>
      </c>
      <c r="D39" s="2" t="s">
        <v>143</v>
      </c>
      <c r="E39" s="73" t="e">
        <f>ROUND(B38/B27,2)</f>
        <v>#DIV/0!</v>
      </c>
      <c r="F39" s="73"/>
      <c r="G39" s="31"/>
      <c r="I39" s="34"/>
      <c r="J39" s="32"/>
      <c r="L39" s="39"/>
      <c r="N39" s="32"/>
    </row>
    <row r="40" spans="1:8" ht="15.75">
      <c r="A40" s="21"/>
      <c r="B40" s="82"/>
      <c r="C40" s="82"/>
      <c r="E40" s="81"/>
      <c r="F40" s="81"/>
      <c r="G40" s="1"/>
      <c r="H40" s="40"/>
    </row>
    <row r="41" ht="13.5">
      <c r="A41" s="21"/>
    </row>
    <row r="42" spans="1:9" ht="15.75">
      <c r="A42" s="2" t="s">
        <v>114</v>
      </c>
      <c r="H42" s="43" t="s">
        <v>48</v>
      </c>
      <c r="I42" s="3">
        <f>-0.089118+0.463818*$G$5+0.178773*POWER($G$4,0.5)*$G$5/100</f>
        <v>-0.089118</v>
      </c>
    </row>
    <row r="43" spans="1:8" ht="13.5">
      <c r="A43" s="2"/>
      <c r="H43" s="43"/>
    </row>
    <row r="44" spans="1:9" ht="15.75">
      <c r="A44" s="2" t="s">
        <v>49</v>
      </c>
      <c r="C44" s="3" t="e">
        <f>G9/I42</f>
        <v>#DIV/0!</v>
      </c>
      <c r="F44" s="2" t="s">
        <v>50</v>
      </c>
      <c r="H44" s="2" t="s">
        <v>48</v>
      </c>
      <c r="I44" s="3" t="e">
        <f>200*POWER(C44/(3.14*G4),0.5)</f>
        <v>#DIV/0!</v>
      </c>
    </row>
    <row r="45" spans="1:8" ht="13.5">
      <c r="A45" s="2"/>
      <c r="F45" s="2"/>
      <c r="H45" s="2"/>
    </row>
    <row r="46" spans="1:9" ht="15.75">
      <c r="A46" s="2" t="s">
        <v>51</v>
      </c>
      <c r="H46" s="2" t="s">
        <v>48</v>
      </c>
      <c r="I46" s="65" t="e">
        <f>-0.029001+0.99178*I44-0.036553*POWER(G4,0.5)*G5/100</f>
        <v>#DIV/0!</v>
      </c>
    </row>
    <row r="47" spans="1:9" ht="13.5">
      <c r="A47" s="2"/>
      <c r="H47" s="2"/>
      <c r="I47" s="20"/>
    </row>
    <row r="48" spans="1:9" ht="13.5">
      <c r="A48" s="2"/>
      <c r="H48" s="2"/>
      <c r="I48" s="20"/>
    </row>
    <row r="49" spans="1:7" ht="13.5">
      <c r="A49" s="21" t="s">
        <v>52</v>
      </c>
      <c r="B49" s="3" t="s">
        <v>53</v>
      </c>
      <c r="G49" s="2" t="s">
        <v>54</v>
      </c>
    </row>
    <row r="50" spans="1:7" ht="13.5">
      <c r="A50" s="21" t="s">
        <v>55</v>
      </c>
      <c r="B50" s="3" t="s">
        <v>56</v>
      </c>
      <c r="G50" s="2" t="s">
        <v>57</v>
      </c>
    </row>
    <row r="51" spans="1:7" ht="13.5">
      <c r="A51" s="21" t="s">
        <v>58</v>
      </c>
      <c r="B51" s="3" t="s">
        <v>59</v>
      </c>
      <c r="G51" s="2" t="s">
        <v>60</v>
      </c>
    </row>
    <row r="52" spans="1:7" ht="13.5">
      <c r="A52" s="21" t="s">
        <v>61</v>
      </c>
      <c r="B52" s="3" t="s">
        <v>62</v>
      </c>
      <c r="G52" s="2" t="s">
        <v>63</v>
      </c>
    </row>
    <row r="53" spans="1:2" ht="13.5">
      <c r="A53" s="21" t="s">
        <v>64</v>
      </c>
      <c r="B53" s="3" t="s">
        <v>65</v>
      </c>
    </row>
    <row r="54" spans="1:2" ht="13.5">
      <c r="A54" s="21" t="s">
        <v>66</v>
      </c>
      <c r="B54" s="3" t="s">
        <v>67</v>
      </c>
    </row>
    <row r="55" ht="13.5">
      <c r="A55" s="21"/>
    </row>
  </sheetData>
  <mergeCells count="29">
    <mergeCell ref="E4:F4"/>
    <mergeCell ref="E5:F5"/>
    <mergeCell ref="E6:F6"/>
    <mergeCell ref="E7:F7"/>
    <mergeCell ref="E9:F9"/>
    <mergeCell ref="E10:F10"/>
    <mergeCell ref="E11:F11"/>
    <mergeCell ref="K10:L10"/>
    <mergeCell ref="H30:I30"/>
    <mergeCell ref="B31:C31"/>
    <mergeCell ref="B33:C33"/>
    <mergeCell ref="A36:B36"/>
    <mergeCell ref="B30:C30"/>
    <mergeCell ref="E30:F30"/>
    <mergeCell ref="B40:C40"/>
    <mergeCell ref="E40:F40"/>
    <mergeCell ref="B27:C27"/>
    <mergeCell ref="B29:C29"/>
    <mergeCell ref="E29:F29"/>
    <mergeCell ref="B38:C38"/>
    <mergeCell ref="E39:F39"/>
    <mergeCell ref="D1:G1"/>
    <mergeCell ref="D2:F2"/>
    <mergeCell ref="A1:B1"/>
    <mergeCell ref="C15:D15"/>
    <mergeCell ref="E16:F16"/>
    <mergeCell ref="B19:C19"/>
    <mergeCell ref="B23:C23"/>
    <mergeCell ref="E8:F8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S54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10.50390625" style="3" bestFit="1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7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7" ht="14.25" thickBot="1">
      <c r="A1" s="80" t="s">
        <v>109</v>
      </c>
      <c r="B1" s="81"/>
      <c r="C1" s="2" t="s">
        <v>156</v>
      </c>
      <c r="D1" s="74"/>
      <c r="E1" s="75"/>
      <c r="F1" s="75"/>
      <c r="G1" s="76"/>
    </row>
    <row r="2" spans="1:10" ht="14.25" thickBot="1">
      <c r="A2" s="4" t="s">
        <v>28</v>
      </c>
      <c r="C2" s="2" t="s">
        <v>154</v>
      </c>
      <c r="D2" s="77"/>
      <c r="E2" s="78"/>
      <c r="F2" s="79"/>
      <c r="G2" s="5"/>
      <c r="H2" s="3" t="s">
        <v>110</v>
      </c>
      <c r="J2" s="6" t="s">
        <v>30</v>
      </c>
    </row>
    <row r="3" ht="13.5">
      <c r="J3" s="2" t="s">
        <v>31</v>
      </c>
    </row>
    <row r="4" spans="3:13" ht="13.5">
      <c r="C4" s="7" t="s">
        <v>0</v>
      </c>
      <c r="D4" s="8"/>
      <c r="E4" s="61" t="s">
        <v>1</v>
      </c>
      <c r="F4" s="62"/>
      <c r="G4" s="10"/>
      <c r="H4" s="11" t="s">
        <v>32</v>
      </c>
      <c r="M4" s="2"/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34</v>
      </c>
    </row>
    <row r="6" spans="3:10" ht="13.5">
      <c r="C6" s="7" t="s">
        <v>4</v>
      </c>
      <c r="D6" s="8"/>
      <c r="E6" s="61" t="s">
        <v>5</v>
      </c>
      <c r="F6" s="62"/>
      <c r="G6" s="14" t="e">
        <f>I45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ROUND(5.99202-2.017716*LOG($G$5),2)</f>
        <v>#NUM!</v>
      </c>
      <c r="H7" s="11"/>
      <c r="J7" s="13" t="s">
        <v>36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19" ht="13.5">
      <c r="C9" s="7" t="s">
        <v>8</v>
      </c>
      <c r="D9" s="8"/>
      <c r="E9" s="61"/>
      <c r="F9" s="62"/>
      <c r="G9" s="8" t="e">
        <f>ROUND(POWER((0.053887*POWER($G$5,-1.183794)+7663.1*POWER($G$5,-3.20151)/$G$4),-1),2)</f>
        <v>#DIV/0!</v>
      </c>
      <c r="H9" s="11"/>
      <c r="S9" s="18"/>
    </row>
    <row r="10" spans="3:14" ht="13.5">
      <c r="C10" s="7" t="s">
        <v>9</v>
      </c>
      <c r="D10" s="8"/>
      <c r="E10" s="61"/>
      <c r="F10" s="62"/>
      <c r="G10" s="8" t="e">
        <f>ROUND(POWER((C21*POWER($G$5,F21)+G21*POWER($G$5,J21)/$G$8),-1),2)</f>
        <v>#DIV/0!</v>
      </c>
      <c r="H10" s="11"/>
      <c r="J10" s="19" t="s">
        <v>38</v>
      </c>
      <c r="K10" s="90" t="e">
        <f>ROUND(G5/G6*100,0)</f>
        <v>#DIV/0!</v>
      </c>
      <c r="L10" s="90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E39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60">
        <v>0.053887</v>
      </c>
      <c r="D21" s="3" t="s">
        <v>18</v>
      </c>
      <c r="E21" s="1" t="s">
        <v>2</v>
      </c>
      <c r="F21" s="30">
        <v>-1.183794</v>
      </c>
      <c r="G21" s="55" t="s">
        <v>111</v>
      </c>
      <c r="H21" s="3" t="s">
        <v>18</v>
      </c>
      <c r="I21" s="1" t="s">
        <v>2</v>
      </c>
      <c r="J21" s="32">
        <v>-3.20151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0.053887</v>
      </c>
      <c r="D22" s="3" t="s">
        <v>18</v>
      </c>
      <c r="E22" s="34">
        <f>$G$5</f>
        <v>0</v>
      </c>
      <c r="F22" s="30">
        <f>F21</f>
        <v>-1.183794</v>
      </c>
      <c r="G22" s="31" t="str">
        <f>G21</f>
        <v>+7663.1</v>
      </c>
      <c r="H22" s="3" t="s">
        <v>18</v>
      </c>
      <c r="I22" s="34">
        <f>$G$5</f>
        <v>0</v>
      </c>
      <c r="J22" s="32">
        <f>J21</f>
        <v>-3.20151</v>
      </c>
      <c r="K22" s="3" t="s">
        <v>20</v>
      </c>
      <c r="L22" s="35">
        <f>$G$4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21" t="s">
        <v>22</v>
      </c>
      <c r="B25" s="3" t="s">
        <v>17</v>
      </c>
      <c r="C25" s="53">
        <f>C21</f>
        <v>0.053887</v>
      </c>
      <c r="D25" s="3" t="s">
        <v>18</v>
      </c>
      <c r="E25" s="1" t="s">
        <v>2</v>
      </c>
      <c r="F25" s="30">
        <f>F21</f>
        <v>-1.183794</v>
      </c>
      <c r="G25" s="31" t="str">
        <f>G21</f>
        <v>+7663.1</v>
      </c>
      <c r="H25" s="3" t="s">
        <v>18</v>
      </c>
      <c r="I25" s="1" t="s">
        <v>2</v>
      </c>
      <c r="J25" s="32">
        <f>J21</f>
        <v>-3.20151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53">
        <f>C21</f>
        <v>0.053887</v>
      </c>
      <c r="D26" s="3" t="s">
        <v>18</v>
      </c>
      <c r="E26" s="34">
        <f>$G$5</f>
        <v>0</v>
      </c>
      <c r="F26" s="30">
        <f>F25</f>
        <v>-1.183794</v>
      </c>
      <c r="G26" s="31" t="str">
        <f>G21</f>
        <v>+7663.1</v>
      </c>
      <c r="H26" s="3" t="s">
        <v>18</v>
      </c>
      <c r="I26" s="34">
        <f>$G$5</f>
        <v>0</v>
      </c>
      <c r="J26" s="32">
        <f>J21</f>
        <v>-3.20151</v>
      </c>
      <c r="K26" s="3" t="s">
        <v>20</v>
      </c>
      <c r="L26" s="3" t="e">
        <f>$B$33</f>
        <v>#NUM!</v>
      </c>
      <c r="M26" s="3" t="s">
        <v>21</v>
      </c>
      <c r="N26" s="32">
        <v>-1</v>
      </c>
    </row>
    <row r="27" spans="1:3" ht="13.5">
      <c r="A27" s="33" t="s">
        <v>15</v>
      </c>
      <c r="B27" s="72" t="e">
        <f>G10</f>
        <v>#DIV/0!</v>
      </c>
      <c r="C27" s="72"/>
    </row>
    <row r="29" spans="1:8" ht="13.5">
      <c r="A29" s="21" t="s">
        <v>23</v>
      </c>
      <c r="B29" s="81">
        <v>5.992602</v>
      </c>
      <c r="C29" s="81"/>
      <c r="D29" s="3" t="s">
        <v>24</v>
      </c>
      <c r="E29" s="81">
        <v>2.017716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5.992602</v>
      </c>
      <c r="C30" s="81"/>
      <c r="D30" s="3" t="s">
        <v>24</v>
      </c>
      <c r="E30" s="81">
        <f>E29</f>
        <v>2.017716</v>
      </c>
      <c r="F30" s="81"/>
      <c r="G30" s="3" t="s">
        <v>25</v>
      </c>
      <c r="H30" s="63">
        <f>$G$5</f>
        <v>0</v>
      </c>
      <c r="I30" s="85"/>
    </row>
    <row r="31" spans="1:3" ht="13.5">
      <c r="A31" s="21" t="s">
        <v>15</v>
      </c>
      <c r="B31" s="73" t="e">
        <f>G7</f>
        <v>#NUM!</v>
      </c>
      <c r="C31" s="72"/>
    </row>
    <row r="33" spans="1:3" ht="13.5">
      <c r="A33" s="21" t="s">
        <v>26</v>
      </c>
      <c r="B33" s="81" t="e">
        <f>G8</f>
        <v>#NUM!</v>
      </c>
      <c r="C33" s="81"/>
    </row>
    <row r="35" spans="1:5" ht="13.5">
      <c r="A35" s="37">
        <f>+G13</f>
        <v>0</v>
      </c>
      <c r="B35" s="3" t="s">
        <v>45</v>
      </c>
      <c r="E35" s="3" t="s">
        <v>46</v>
      </c>
    </row>
    <row r="36" spans="1:4" ht="13.5">
      <c r="A36" s="86" t="s">
        <v>145</v>
      </c>
      <c r="B36" s="87"/>
      <c r="C36" s="38">
        <f>G15</f>
        <v>0</v>
      </c>
      <c r="D36" s="3" t="s">
        <v>47</v>
      </c>
    </row>
    <row r="37" spans="1:14" ht="15.75">
      <c r="A37" s="50" t="s">
        <v>146</v>
      </c>
      <c r="B37" s="3" t="s">
        <v>17</v>
      </c>
      <c r="C37" s="60">
        <v>0.053887</v>
      </c>
      <c r="D37" s="3" t="s">
        <v>18</v>
      </c>
      <c r="E37" s="1" t="s">
        <v>2</v>
      </c>
      <c r="F37" s="30">
        <v>-1.183794</v>
      </c>
      <c r="G37" s="55" t="s">
        <v>111</v>
      </c>
      <c r="H37" s="3" t="s">
        <v>18</v>
      </c>
      <c r="I37" s="1" t="s">
        <v>2</v>
      </c>
      <c r="J37" s="32">
        <v>-3.20151</v>
      </c>
      <c r="K37" s="3" t="s">
        <v>20</v>
      </c>
      <c r="L37" s="52" t="s">
        <v>147</v>
      </c>
      <c r="M37" s="3" t="s">
        <v>21</v>
      </c>
      <c r="N37" s="32">
        <v>-1</v>
      </c>
    </row>
    <row r="38" spans="1:3" ht="13.5">
      <c r="A38" s="50" t="s">
        <v>143</v>
      </c>
      <c r="C38" s="66" t="e">
        <f>ROUND(POWER((C37*POWER(G5,F37)+G37*POWER(G5,J37)/C36),N37),2)</f>
        <v>#DIV/0!</v>
      </c>
    </row>
    <row r="39" spans="1:6" ht="13.5">
      <c r="A39" s="50" t="s">
        <v>141</v>
      </c>
      <c r="B39" s="91" t="s">
        <v>142</v>
      </c>
      <c r="C39" s="92"/>
      <c r="D39" s="2" t="s">
        <v>143</v>
      </c>
      <c r="E39" s="72" t="e">
        <f>ROUND(C38/B27,2)</f>
        <v>#DIV/0!</v>
      </c>
      <c r="F39" s="72"/>
    </row>
    <row r="40" spans="6:13" ht="13.5">
      <c r="F40" s="41"/>
      <c r="J40" s="42"/>
      <c r="K40" s="36"/>
      <c r="M40" s="1"/>
    </row>
    <row r="41" spans="1:9" ht="15.75">
      <c r="A41" s="2" t="s">
        <v>112</v>
      </c>
      <c r="H41" s="43" t="s">
        <v>48</v>
      </c>
      <c r="I41" s="3">
        <f>0.320738+0.437334*$G$5+0.153257*POWER($G$4,0.5)*$G$5/100</f>
        <v>0.320738</v>
      </c>
    </row>
    <row r="42" spans="1:8" ht="13.5">
      <c r="A42" s="2"/>
      <c r="H42" s="43"/>
    </row>
    <row r="43" spans="1:9" ht="15.75">
      <c r="A43" s="2" t="s">
        <v>49</v>
      </c>
      <c r="C43" s="3" t="e">
        <f>G9/I41</f>
        <v>#DIV/0!</v>
      </c>
      <c r="F43" s="2" t="s">
        <v>50</v>
      </c>
      <c r="H43" s="2" t="s">
        <v>48</v>
      </c>
      <c r="I43" s="3" t="e">
        <f>200*POWER(C43/(3.14*G4),0.5)</f>
        <v>#DIV/0!</v>
      </c>
    </row>
    <row r="44" spans="1:8" ht="13.5">
      <c r="A44" s="2"/>
      <c r="F44" s="2"/>
      <c r="H44" s="2"/>
    </row>
    <row r="45" spans="1:9" ht="13.5">
      <c r="A45" s="2" t="s">
        <v>113</v>
      </c>
      <c r="H45" s="2" t="s">
        <v>48</v>
      </c>
      <c r="I45" s="65" t="e">
        <f>-0.029001+0.99178*I43-0.036553*POWER(G4,0.5)*G5/100</f>
        <v>#DIV/0!</v>
      </c>
    </row>
    <row r="46" spans="1:9" ht="13.5">
      <c r="A46" s="2"/>
      <c r="H46" s="2"/>
      <c r="I46" s="20"/>
    </row>
    <row r="47" spans="1:9" ht="13.5">
      <c r="A47" s="2"/>
      <c r="H47" s="2"/>
      <c r="I47" s="20"/>
    </row>
    <row r="48" spans="1:7" ht="13.5">
      <c r="A48" s="21" t="s">
        <v>52</v>
      </c>
      <c r="B48" s="3" t="s">
        <v>53</v>
      </c>
      <c r="G48" s="2" t="s">
        <v>54</v>
      </c>
    </row>
    <row r="49" spans="1:7" ht="13.5">
      <c r="A49" s="21" t="s">
        <v>55</v>
      </c>
      <c r="B49" s="3" t="s">
        <v>56</v>
      </c>
      <c r="G49" s="2" t="s">
        <v>57</v>
      </c>
    </row>
    <row r="50" spans="1:7" ht="13.5">
      <c r="A50" s="21" t="s">
        <v>58</v>
      </c>
      <c r="B50" s="3" t="s">
        <v>59</v>
      </c>
      <c r="G50" s="2" t="s">
        <v>60</v>
      </c>
    </row>
    <row r="51" spans="1:7" ht="13.5">
      <c r="A51" s="21" t="s">
        <v>61</v>
      </c>
      <c r="B51" s="3" t="s">
        <v>62</v>
      </c>
      <c r="G51" s="2" t="s">
        <v>63</v>
      </c>
    </row>
    <row r="52" spans="1:2" ht="13.5">
      <c r="A52" s="21" t="s">
        <v>64</v>
      </c>
      <c r="B52" s="3" t="s">
        <v>65</v>
      </c>
    </row>
    <row r="53" spans="1:2" ht="13.5">
      <c r="A53" s="21" t="s">
        <v>66</v>
      </c>
      <c r="B53" s="3" t="s">
        <v>67</v>
      </c>
    </row>
    <row r="54" ht="13.5">
      <c r="A54" s="21"/>
    </row>
  </sheetData>
  <mergeCells count="27">
    <mergeCell ref="B29:C29"/>
    <mergeCell ref="E29:F29"/>
    <mergeCell ref="C15:D15"/>
    <mergeCell ref="E16:F16"/>
    <mergeCell ref="D1:G1"/>
    <mergeCell ref="D2:F2"/>
    <mergeCell ref="A1:B1"/>
    <mergeCell ref="B27:C27"/>
    <mergeCell ref="B19:C19"/>
    <mergeCell ref="B23:C23"/>
    <mergeCell ref="E8:F8"/>
    <mergeCell ref="E9:F9"/>
    <mergeCell ref="E10:F10"/>
    <mergeCell ref="E11:F11"/>
    <mergeCell ref="B39:C39"/>
    <mergeCell ref="H30:I30"/>
    <mergeCell ref="B31:C31"/>
    <mergeCell ref="B33:C33"/>
    <mergeCell ref="A36:B36"/>
    <mergeCell ref="B30:C30"/>
    <mergeCell ref="E30:F30"/>
    <mergeCell ref="E39:F39"/>
    <mergeCell ref="K10:L10"/>
    <mergeCell ref="E4:F4"/>
    <mergeCell ref="E5:F5"/>
    <mergeCell ref="E6:F6"/>
    <mergeCell ref="E7:F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S54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10.50390625" style="3" bestFit="1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7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7" ht="14.25" thickBot="1">
      <c r="A1" s="80" t="s">
        <v>109</v>
      </c>
      <c r="B1" s="81"/>
      <c r="C1" s="2" t="s">
        <v>156</v>
      </c>
      <c r="D1" s="74"/>
      <c r="E1" s="75"/>
      <c r="F1" s="75"/>
      <c r="G1" s="76"/>
    </row>
    <row r="2" spans="1:10" ht="14.25" thickBot="1">
      <c r="A2" s="4" t="s">
        <v>28</v>
      </c>
      <c r="C2" s="2" t="s">
        <v>154</v>
      </c>
      <c r="D2" s="77"/>
      <c r="E2" s="78"/>
      <c r="F2" s="79"/>
      <c r="G2" s="5"/>
      <c r="H2" s="3" t="s">
        <v>134</v>
      </c>
      <c r="J2" s="6" t="s">
        <v>30</v>
      </c>
    </row>
    <row r="3" ht="13.5">
      <c r="J3" s="2" t="s">
        <v>31</v>
      </c>
    </row>
    <row r="4" spans="3:13" ht="13.5">
      <c r="C4" s="7" t="s">
        <v>0</v>
      </c>
      <c r="D4" s="8"/>
      <c r="E4" s="61" t="s">
        <v>1</v>
      </c>
      <c r="F4" s="62"/>
      <c r="G4" s="10"/>
      <c r="H4" s="11" t="s">
        <v>32</v>
      </c>
      <c r="M4" s="2"/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34</v>
      </c>
    </row>
    <row r="6" spans="3:10" ht="13.5">
      <c r="C6" s="7" t="s">
        <v>4</v>
      </c>
      <c r="D6" s="8"/>
      <c r="E6" s="61" t="s">
        <v>5</v>
      </c>
      <c r="F6" s="62"/>
      <c r="G6" s="14" t="e">
        <f>I45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ROUND(B29-E29*LOG($G$5),2)</f>
        <v>#NUM!</v>
      </c>
      <c r="H7" s="11"/>
      <c r="J7" s="13" t="s">
        <v>36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19" ht="13.5">
      <c r="C9" s="7" t="s">
        <v>8</v>
      </c>
      <c r="D9" s="8"/>
      <c r="E9" s="61"/>
      <c r="F9" s="62"/>
      <c r="G9" s="8" t="e">
        <f>ROUND(POWER((C21*POWER($G$5,F21)+G21*POWER($G$5,J21)/$G$4),-1),2)</f>
        <v>#DIV/0!</v>
      </c>
      <c r="H9" s="11"/>
      <c r="S9" s="18"/>
    </row>
    <row r="10" spans="3:14" ht="13.5">
      <c r="C10" s="7" t="s">
        <v>9</v>
      </c>
      <c r="D10" s="8"/>
      <c r="E10" s="61"/>
      <c r="F10" s="62"/>
      <c r="G10" s="8" t="e">
        <f>ROUND(POWER((C21*POWER($G$5,F21)+G21*POWER($G$5,J21)/$G$8),-1),2)</f>
        <v>#DIV/0!</v>
      </c>
      <c r="H10" s="11"/>
      <c r="J10" s="19" t="s">
        <v>38</v>
      </c>
      <c r="K10" s="90" t="e">
        <f>ROUND(G5/G6*100,0)</f>
        <v>#DIV/0!</v>
      </c>
      <c r="L10" s="90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E39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60">
        <v>0.035147</v>
      </c>
      <c r="D21" s="3" t="s">
        <v>18</v>
      </c>
      <c r="E21" s="1" t="s">
        <v>2</v>
      </c>
      <c r="F21" s="30">
        <v>-1.080773</v>
      </c>
      <c r="G21" s="59" t="s">
        <v>135</v>
      </c>
      <c r="H21" s="3" t="s">
        <v>18</v>
      </c>
      <c r="I21" s="1" t="s">
        <v>2</v>
      </c>
      <c r="J21" s="32">
        <v>-2.922894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0.035147</v>
      </c>
      <c r="D22" s="3" t="s">
        <v>18</v>
      </c>
      <c r="E22" s="34">
        <f>$G$5</f>
        <v>0</v>
      </c>
      <c r="F22" s="30">
        <f>F21</f>
        <v>-1.080773</v>
      </c>
      <c r="G22" s="31" t="str">
        <f>G21</f>
        <v>+4711.2</v>
      </c>
      <c r="H22" s="3" t="s">
        <v>18</v>
      </c>
      <c r="I22" s="34">
        <f>$G$5</f>
        <v>0</v>
      </c>
      <c r="J22" s="32">
        <f>J21</f>
        <v>-2.922894</v>
      </c>
      <c r="K22" s="3" t="s">
        <v>20</v>
      </c>
      <c r="L22" s="35">
        <f>$G$4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21" t="s">
        <v>22</v>
      </c>
      <c r="B25" s="3" t="s">
        <v>17</v>
      </c>
      <c r="C25" s="53">
        <f>C21</f>
        <v>0.035147</v>
      </c>
      <c r="D25" s="3" t="s">
        <v>18</v>
      </c>
      <c r="E25" s="1" t="s">
        <v>2</v>
      </c>
      <c r="F25" s="30">
        <f>F21</f>
        <v>-1.080773</v>
      </c>
      <c r="G25" s="31" t="str">
        <f>G21</f>
        <v>+4711.2</v>
      </c>
      <c r="H25" s="3" t="s">
        <v>18</v>
      </c>
      <c r="I25" s="1" t="s">
        <v>2</v>
      </c>
      <c r="J25" s="32">
        <f>J21</f>
        <v>-2.922894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53">
        <f>C21</f>
        <v>0.035147</v>
      </c>
      <c r="D26" s="3" t="s">
        <v>18</v>
      </c>
      <c r="E26" s="34">
        <f>$G$5</f>
        <v>0</v>
      </c>
      <c r="F26" s="30">
        <f>F25</f>
        <v>-1.080773</v>
      </c>
      <c r="G26" s="31" t="str">
        <f>G21</f>
        <v>+4711.2</v>
      </c>
      <c r="H26" s="3" t="s">
        <v>18</v>
      </c>
      <c r="I26" s="34">
        <f>$G$5</f>
        <v>0</v>
      </c>
      <c r="J26" s="32">
        <f>J21</f>
        <v>-2.922894</v>
      </c>
      <c r="K26" s="3" t="s">
        <v>20</v>
      </c>
      <c r="L26" s="3" t="e">
        <f>$B$33</f>
        <v>#NUM!</v>
      </c>
      <c r="M26" s="3" t="s">
        <v>21</v>
      </c>
      <c r="N26" s="32">
        <v>-1</v>
      </c>
    </row>
    <row r="27" spans="1:3" ht="13.5">
      <c r="A27" s="33" t="s">
        <v>15</v>
      </c>
      <c r="B27" s="72" t="e">
        <f>G10</f>
        <v>#DIV/0!</v>
      </c>
      <c r="C27" s="72"/>
    </row>
    <row r="29" spans="1:8" ht="13.5">
      <c r="A29" s="21" t="s">
        <v>23</v>
      </c>
      <c r="B29" s="81">
        <v>5.7384</v>
      </c>
      <c r="C29" s="81"/>
      <c r="D29" s="3" t="s">
        <v>24</v>
      </c>
      <c r="E29" s="81">
        <v>1.842121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5.7384</v>
      </c>
      <c r="C30" s="81"/>
      <c r="D30" s="3" t="s">
        <v>24</v>
      </c>
      <c r="E30" s="81">
        <f>E29</f>
        <v>1.842121</v>
      </c>
      <c r="F30" s="81"/>
      <c r="G30" s="3" t="s">
        <v>25</v>
      </c>
      <c r="H30" s="63">
        <f>$G$5</f>
        <v>0</v>
      </c>
      <c r="I30" s="85"/>
    </row>
    <row r="31" spans="1:3" ht="13.5">
      <c r="A31" s="21" t="s">
        <v>15</v>
      </c>
      <c r="B31" s="73" t="e">
        <f>G7</f>
        <v>#NUM!</v>
      </c>
      <c r="C31" s="72"/>
    </row>
    <row r="33" spans="1:3" ht="13.5">
      <c r="A33" s="21" t="s">
        <v>26</v>
      </c>
      <c r="B33" s="72" t="e">
        <f>G8</f>
        <v>#NUM!</v>
      </c>
      <c r="C33" s="72"/>
    </row>
    <row r="35" spans="1:5" ht="13.5">
      <c r="A35" s="37">
        <f>+G13</f>
        <v>0</v>
      </c>
      <c r="B35" s="3" t="s">
        <v>45</v>
      </c>
      <c r="E35" s="3" t="s">
        <v>46</v>
      </c>
    </row>
    <row r="36" spans="1:4" ht="13.5">
      <c r="A36" s="86" t="s">
        <v>145</v>
      </c>
      <c r="B36" s="87"/>
      <c r="C36" s="38">
        <f>G15</f>
        <v>0</v>
      </c>
      <c r="D36" s="3" t="s">
        <v>47</v>
      </c>
    </row>
    <row r="37" spans="1:15" ht="15.75">
      <c r="A37" s="50" t="s">
        <v>146</v>
      </c>
      <c r="B37" s="3" t="s">
        <v>17</v>
      </c>
      <c r="C37" s="60">
        <v>0.035147</v>
      </c>
      <c r="D37" s="3" t="s">
        <v>18</v>
      </c>
      <c r="E37" s="1" t="s">
        <v>2</v>
      </c>
      <c r="F37" s="30">
        <v>-1.080773</v>
      </c>
      <c r="G37" s="59" t="s">
        <v>135</v>
      </c>
      <c r="H37" s="3" t="s">
        <v>18</v>
      </c>
      <c r="I37" s="1" t="s">
        <v>2</v>
      </c>
      <c r="J37" s="32">
        <v>-2.922894</v>
      </c>
      <c r="K37" s="3" t="s">
        <v>20</v>
      </c>
      <c r="L37" s="52" t="s">
        <v>147</v>
      </c>
      <c r="M37" s="3" t="s">
        <v>21</v>
      </c>
      <c r="N37" s="32">
        <v>-1</v>
      </c>
      <c r="O37" s="32"/>
    </row>
    <row r="38" spans="1:3" ht="13.5">
      <c r="A38" s="50" t="s">
        <v>143</v>
      </c>
      <c r="C38" s="3" t="e">
        <f>ROUND(POWER((C37*POWER(G5,F37)+G37*POWER(G5,J37)/C36),-1),2)</f>
        <v>#DIV/0!</v>
      </c>
    </row>
    <row r="39" spans="1:6" ht="13.5">
      <c r="A39" s="50" t="s">
        <v>141</v>
      </c>
      <c r="B39" s="91" t="s">
        <v>142</v>
      </c>
      <c r="C39" s="92"/>
      <c r="D39" s="2" t="s">
        <v>106</v>
      </c>
      <c r="E39" s="65" t="e">
        <f>ROUND(C38/B27,2)</f>
        <v>#DIV/0!</v>
      </c>
      <c r="F39" s="41"/>
    </row>
    <row r="40" spans="6:13" ht="13.5">
      <c r="F40" s="41"/>
      <c r="J40" s="42"/>
      <c r="K40" s="36"/>
      <c r="M40" s="1"/>
    </row>
    <row r="41" spans="1:9" ht="15.75">
      <c r="A41" s="2" t="s">
        <v>137</v>
      </c>
      <c r="H41" s="43" t="s">
        <v>48</v>
      </c>
      <c r="I41" s="3">
        <f>-0.052817+0.472577*$G$5+0.123506*POWER($G$4,0.5)*$G$5/100</f>
        <v>-0.052817</v>
      </c>
    </row>
    <row r="42" spans="1:8" ht="13.5">
      <c r="A42" s="2"/>
      <c r="H42" s="43"/>
    </row>
    <row r="43" spans="1:9" ht="15.75">
      <c r="A43" s="2" t="s">
        <v>49</v>
      </c>
      <c r="C43" s="3" t="e">
        <f>G9/I41</f>
        <v>#DIV/0!</v>
      </c>
      <c r="F43" s="2" t="s">
        <v>50</v>
      </c>
      <c r="H43" s="2" t="s">
        <v>48</v>
      </c>
      <c r="I43" s="65" t="e">
        <f>200*POWER(C43/(3.14*G4),0.5)</f>
        <v>#DIV/0!</v>
      </c>
    </row>
    <row r="44" spans="1:8" ht="13.5">
      <c r="A44" s="2"/>
      <c r="F44" s="2"/>
      <c r="H44" s="2"/>
    </row>
    <row r="45" spans="1:9" ht="13.5">
      <c r="A45" s="2" t="s">
        <v>136</v>
      </c>
      <c r="H45" s="2" t="s">
        <v>48</v>
      </c>
      <c r="I45" s="65" t="e">
        <f>-0.115479+0.984423*I43</f>
        <v>#DIV/0!</v>
      </c>
    </row>
    <row r="46" spans="1:9" ht="13.5">
      <c r="A46" s="2"/>
      <c r="H46" s="2"/>
      <c r="I46" s="20"/>
    </row>
    <row r="47" spans="1:9" ht="13.5">
      <c r="A47" s="2"/>
      <c r="H47" s="2"/>
      <c r="I47" s="20"/>
    </row>
    <row r="48" spans="1:7" ht="13.5">
      <c r="A48" s="21" t="s">
        <v>52</v>
      </c>
      <c r="B48" s="3" t="s">
        <v>53</v>
      </c>
      <c r="G48" s="2" t="s">
        <v>54</v>
      </c>
    </row>
    <row r="49" spans="1:7" ht="13.5">
      <c r="A49" s="21" t="s">
        <v>55</v>
      </c>
      <c r="B49" s="3" t="s">
        <v>56</v>
      </c>
      <c r="G49" s="2" t="s">
        <v>57</v>
      </c>
    </row>
    <row r="50" spans="1:7" ht="13.5">
      <c r="A50" s="21" t="s">
        <v>58</v>
      </c>
      <c r="B50" s="3" t="s">
        <v>59</v>
      </c>
      <c r="G50" s="2" t="s">
        <v>60</v>
      </c>
    </row>
    <row r="51" spans="1:7" ht="13.5">
      <c r="A51" s="21" t="s">
        <v>61</v>
      </c>
      <c r="B51" s="3" t="s">
        <v>62</v>
      </c>
      <c r="G51" s="2" t="s">
        <v>63</v>
      </c>
    </row>
    <row r="52" spans="1:2" ht="13.5">
      <c r="A52" s="21" t="s">
        <v>64</v>
      </c>
      <c r="B52" s="3" t="s">
        <v>65</v>
      </c>
    </row>
    <row r="53" spans="1:2" ht="13.5">
      <c r="A53" s="21" t="s">
        <v>66</v>
      </c>
      <c r="B53" s="3" t="s">
        <v>67</v>
      </c>
    </row>
    <row r="54" ht="13.5">
      <c r="A54" s="21"/>
    </row>
  </sheetData>
  <mergeCells count="26">
    <mergeCell ref="K10:L10"/>
    <mergeCell ref="E4:F4"/>
    <mergeCell ref="E5:F5"/>
    <mergeCell ref="E6:F6"/>
    <mergeCell ref="E7:F7"/>
    <mergeCell ref="B39:C39"/>
    <mergeCell ref="H30:I30"/>
    <mergeCell ref="B31:C31"/>
    <mergeCell ref="B33:C33"/>
    <mergeCell ref="A36:B36"/>
    <mergeCell ref="B30:C30"/>
    <mergeCell ref="E30:F30"/>
    <mergeCell ref="D1:G1"/>
    <mergeCell ref="D2:F2"/>
    <mergeCell ref="A1:B1"/>
    <mergeCell ref="B27:C27"/>
    <mergeCell ref="B19:C19"/>
    <mergeCell ref="B23:C23"/>
    <mergeCell ref="E8:F8"/>
    <mergeCell ref="E9:F9"/>
    <mergeCell ref="E10:F10"/>
    <mergeCell ref="E11:F11"/>
    <mergeCell ref="B29:C29"/>
    <mergeCell ref="E29:F29"/>
    <mergeCell ref="C15:D15"/>
    <mergeCell ref="E16:F1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54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9.00390625" style="3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4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7" width="9.00390625" style="3" customWidth="1"/>
    <col min="18" max="18" width="8.875" style="3" customWidth="1"/>
    <col min="19" max="16384" width="9.00390625" style="3" customWidth="1"/>
  </cols>
  <sheetData>
    <row r="1" spans="1:8" ht="14.25" thickBot="1">
      <c r="A1" s="80" t="s">
        <v>71</v>
      </c>
      <c r="B1" s="81"/>
      <c r="C1" s="2" t="s">
        <v>155</v>
      </c>
      <c r="D1" s="74"/>
      <c r="E1" s="75"/>
      <c r="F1" s="75"/>
      <c r="G1" s="75"/>
      <c r="H1" s="76"/>
    </row>
    <row r="2" spans="1:10" ht="14.25" thickBot="1">
      <c r="A2" s="4" t="s">
        <v>28</v>
      </c>
      <c r="C2" s="45" t="s">
        <v>154</v>
      </c>
      <c r="D2" s="46"/>
      <c r="E2" s="47" t="s">
        <v>72</v>
      </c>
      <c r="F2" s="48"/>
      <c r="G2" s="5"/>
      <c r="H2" s="3" t="s">
        <v>73</v>
      </c>
      <c r="J2" s="6" t="s">
        <v>30</v>
      </c>
    </row>
    <row r="3" ht="13.5">
      <c r="J3" s="2" t="s">
        <v>74</v>
      </c>
    </row>
    <row r="4" spans="3:8" ht="13.5">
      <c r="C4" s="7" t="s">
        <v>0</v>
      </c>
      <c r="D4" s="8"/>
      <c r="E4" s="61" t="s">
        <v>1</v>
      </c>
      <c r="F4" s="62"/>
      <c r="G4" s="10">
        <v>2000</v>
      </c>
      <c r="H4" s="11" t="s">
        <v>32</v>
      </c>
    </row>
    <row r="5" spans="3:10" ht="13.5">
      <c r="C5" s="7" t="s">
        <v>2</v>
      </c>
      <c r="D5" s="8"/>
      <c r="E5" s="61" t="s">
        <v>3</v>
      </c>
      <c r="F5" s="62"/>
      <c r="G5" s="12">
        <v>15</v>
      </c>
      <c r="H5" s="11" t="s">
        <v>33</v>
      </c>
      <c r="J5" s="13" t="s">
        <v>75</v>
      </c>
    </row>
    <row r="6" spans="3:10" ht="13.5">
      <c r="C6" s="7" t="s">
        <v>4</v>
      </c>
      <c r="D6" s="8"/>
      <c r="E6" s="61" t="s">
        <v>5</v>
      </c>
      <c r="F6" s="62"/>
      <c r="G6" s="14">
        <f>L45</f>
        <v>16.581553218503352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>
        <f>ROUND(5.32435-1.47187*LOG($G$5),2)</f>
        <v>3.59</v>
      </c>
      <c r="H7" s="11"/>
      <c r="J7" s="13" t="s">
        <v>76</v>
      </c>
    </row>
    <row r="8" spans="3:10" ht="13.5">
      <c r="C8" s="7" t="s">
        <v>7</v>
      </c>
      <c r="D8" s="8"/>
      <c r="E8" s="61"/>
      <c r="F8" s="62"/>
      <c r="G8" s="8">
        <f>ROUND(POWER(10,$G$7),2)</f>
        <v>3890.45</v>
      </c>
      <c r="H8" s="11"/>
      <c r="J8" s="13" t="s">
        <v>37</v>
      </c>
    </row>
    <row r="9" spans="3:8" ht="13.5">
      <c r="C9" s="7" t="s">
        <v>8</v>
      </c>
      <c r="D9" s="8"/>
      <c r="E9" s="61"/>
      <c r="F9" s="62"/>
      <c r="G9" s="8">
        <f>ROUND(POWER((0.061977*POWER($G$5,-1.351766)+4725.2*POWER($G$5,-2.823636)/$G$4),-1),2)</f>
        <v>367.33</v>
      </c>
      <c r="H9" s="11"/>
    </row>
    <row r="10" spans="3:14" ht="13.5">
      <c r="C10" s="7" t="s">
        <v>9</v>
      </c>
      <c r="D10" s="8"/>
      <c r="E10" s="61"/>
      <c r="F10" s="62"/>
      <c r="G10" s="8">
        <f>ROUND(POWER((0.061977*POWER($G$5,-1.351766)+4725.2*POWER($G$5,-2.823636)/$G$8),-1),2)</f>
        <v>459.99</v>
      </c>
      <c r="H10" s="11"/>
      <c r="J10" s="49" t="s">
        <v>38</v>
      </c>
      <c r="K10" s="93">
        <f>ROUND(G5/G6*100,0)</f>
        <v>90</v>
      </c>
      <c r="L10" s="93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>
        <f>ROUND($G$9/$G$10,2)</f>
        <v>0.8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>
        <v>0.2</v>
      </c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400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1600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>
        <f>E39</f>
        <v>0.72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>
        <f>G11</f>
        <v>0.8</v>
      </c>
      <c r="C19" s="89"/>
    </row>
    <row r="21" spans="1:14" ht="15.75">
      <c r="A21" s="21" t="s">
        <v>16</v>
      </c>
      <c r="B21" s="3" t="s">
        <v>17</v>
      </c>
      <c r="C21" s="3">
        <v>0.061977</v>
      </c>
      <c r="D21" s="3" t="s">
        <v>18</v>
      </c>
      <c r="E21" s="1" t="s">
        <v>2</v>
      </c>
      <c r="F21" s="30">
        <v>-1.351766</v>
      </c>
      <c r="G21" s="31" t="s">
        <v>77</v>
      </c>
      <c r="H21" s="3" t="s">
        <v>18</v>
      </c>
      <c r="I21" s="1" t="s">
        <v>2</v>
      </c>
      <c r="J21" s="32">
        <v>-2.823636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0.061977</v>
      </c>
      <c r="D22" s="3" t="s">
        <v>18</v>
      </c>
      <c r="E22" s="34">
        <f>$G$5</f>
        <v>15</v>
      </c>
      <c r="F22" s="30">
        <f>F21</f>
        <v>-1.351766</v>
      </c>
      <c r="G22" s="31" t="str">
        <f>G21</f>
        <v>＋4725.2</v>
      </c>
      <c r="H22" s="3" t="s">
        <v>18</v>
      </c>
      <c r="I22" s="34">
        <f>$G$5</f>
        <v>15</v>
      </c>
      <c r="J22" s="32">
        <f>J21</f>
        <v>-2.823636</v>
      </c>
      <c r="K22" s="3" t="s">
        <v>20</v>
      </c>
      <c r="L22" s="35">
        <f>G4</f>
        <v>2000</v>
      </c>
      <c r="M22" s="3" t="s">
        <v>21</v>
      </c>
      <c r="N22" s="32">
        <v>-1</v>
      </c>
    </row>
    <row r="23" spans="1:3" ht="13.5">
      <c r="A23" s="33" t="s">
        <v>15</v>
      </c>
      <c r="B23" s="72">
        <f>G9</f>
        <v>367.33</v>
      </c>
      <c r="C23" s="72"/>
    </row>
    <row r="25" spans="1:14" ht="15.75">
      <c r="A25" s="21" t="s">
        <v>22</v>
      </c>
      <c r="B25" s="3" t="s">
        <v>17</v>
      </c>
      <c r="C25" s="3">
        <v>0.061977</v>
      </c>
      <c r="D25" s="3" t="s">
        <v>18</v>
      </c>
      <c r="E25" s="1" t="s">
        <v>2</v>
      </c>
      <c r="F25" s="30">
        <v>-1.351766</v>
      </c>
      <c r="G25" s="31" t="s">
        <v>77</v>
      </c>
      <c r="H25" s="3" t="s">
        <v>18</v>
      </c>
      <c r="I25" s="1" t="s">
        <v>2</v>
      </c>
      <c r="J25" s="32">
        <v>-2.823636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3">
        <f>C25</f>
        <v>0.061977</v>
      </c>
      <c r="D26" s="3" t="s">
        <v>18</v>
      </c>
      <c r="E26" s="34">
        <f>$G$5</f>
        <v>15</v>
      </c>
      <c r="F26" s="30">
        <f>F25</f>
        <v>-1.351766</v>
      </c>
      <c r="G26" s="31" t="str">
        <f>G25</f>
        <v>＋4725.2</v>
      </c>
      <c r="H26" s="3" t="s">
        <v>18</v>
      </c>
      <c r="I26" s="34">
        <f>$G$5</f>
        <v>15</v>
      </c>
      <c r="J26" s="32">
        <f>J25</f>
        <v>-2.823636</v>
      </c>
      <c r="K26" s="3" t="s">
        <v>20</v>
      </c>
      <c r="L26" s="3">
        <f>B33</f>
        <v>3890.45</v>
      </c>
      <c r="M26" s="3" t="s">
        <v>21</v>
      </c>
      <c r="N26" s="32">
        <v>-1</v>
      </c>
    </row>
    <row r="27" spans="1:3" ht="13.5">
      <c r="A27" s="33" t="s">
        <v>15</v>
      </c>
      <c r="B27" s="72">
        <f>G10</f>
        <v>459.99</v>
      </c>
      <c r="C27" s="72"/>
    </row>
    <row r="29" spans="1:8" ht="13.5">
      <c r="A29" s="21" t="s">
        <v>23</v>
      </c>
      <c r="B29" s="81">
        <v>5.32435</v>
      </c>
      <c r="C29" s="81"/>
      <c r="D29" s="3" t="s">
        <v>24</v>
      </c>
      <c r="E29" s="81">
        <v>1.47187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5.32435</v>
      </c>
      <c r="C30" s="81"/>
      <c r="D30" s="3" t="s">
        <v>24</v>
      </c>
      <c r="E30" s="81">
        <f>E29</f>
        <v>1.47187</v>
      </c>
      <c r="F30" s="81"/>
      <c r="G30" s="3" t="s">
        <v>25</v>
      </c>
      <c r="H30" s="63">
        <f>G5</f>
        <v>15</v>
      </c>
      <c r="I30" s="85"/>
    </row>
    <row r="31" spans="1:3" ht="13.5">
      <c r="A31" s="21" t="s">
        <v>15</v>
      </c>
      <c r="B31" s="94">
        <f>G7</f>
        <v>3.59</v>
      </c>
      <c r="C31" s="81"/>
    </row>
    <row r="33" spans="1:3" ht="13.5">
      <c r="A33" s="21" t="s">
        <v>26</v>
      </c>
      <c r="B33" s="81">
        <f>G8</f>
        <v>3890.45</v>
      </c>
      <c r="C33" s="81"/>
    </row>
    <row r="35" spans="1:5" ht="13.5">
      <c r="A35" s="37">
        <f>+G13</f>
        <v>0.2</v>
      </c>
      <c r="B35" s="3" t="s">
        <v>68</v>
      </c>
      <c r="E35" s="3" t="s">
        <v>69</v>
      </c>
    </row>
    <row r="36" spans="1:4" ht="13.5">
      <c r="A36" s="86" t="s">
        <v>144</v>
      </c>
      <c r="B36" s="87"/>
      <c r="C36" s="38">
        <f>G15</f>
        <v>1600</v>
      </c>
      <c r="D36" s="3" t="s">
        <v>70</v>
      </c>
    </row>
    <row r="37" spans="1:14" ht="15.75">
      <c r="A37" s="50" t="s">
        <v>146</v>
      </c>
      <c r="B37" s="3" t="s">
        <v>17</v>
      </c>
      <c r="C37" s="3">
        <v>0.061977</v>
      </c>
      <c r="D37" s="3" t="s">
        <v>18</v>
      </c>
      <c r="E37" s="1" t="s">
        <v>2</v>
      </c>
      <c r="F37" s="30">
        <v>-1.351766</v>
      </c>
      <c r="G37" s="31" t="s">
        <v>77</v>
      </c>
      <c r="H37" s="3" t="s">
        <v>18</v>
      </c>
      <c r="I37" s="1" t="s">
        <v>2</v>
      </c>
      <c r="J37" s="32">
        <v>-2.823636</v>
      </c>
      <c r="K37" s="3" t="s">
        <v>20</v>
      </c>
      <c r="L37" s="52" t="s">
        <v>147</v>
      </c>
      <c r="M37" s="3" t="s">
        <v>21</v>
      </c>
      <c r="N37" s="32">
        <v>-1</v>
      </c>
    </row>
    <row r="38" spans="1:3" ht="13.5">
      <c r="A38" s="50" t="s">
        <v>143</v>
      </c>
      <c r="B38" s="72">
        <f>ROUND(POWER((C37*POWER(G5,F37)+G37*POWER(G5,J37)/C36),-1),2)</f>
        <v>332.83</v>
      </c>
      <c r="C38" s="72"/>
    </row>
    <row r="39" spans="1:6" ht="13.5">
      <c r="A39" s="50" t="s">
        <v>141</v>
      </c>
      <c r="B39" s="91" t="s">
        <v>142</v>
      </c>
      <c r="C39" s="92"/>
      <c r="D39" s="2" t="s">
        <v>106</v>
      </c>
      <c r="E39" s="67">
        <f>ROUND(B38/B27,2)</f>
        <v>0.72</v>
      </c>
      <c r="F39" s="41"/>
    </row>
    <row r="40" spans="6:13" ht="13.5">
      <c r="F40" s="41"/>
      <c r="J40" s="42"/>
      <c r="K40" s="36"/>
      <c r="M40" s="1"/>
    </row>
    <row r="41" spans="1:12" ht="15.75">
      <c r="A41" s="50" t="s">
        <v>78</v>
      </c>
      <c r="B41" s="51" t="s">
        <v>79</v>
      </c>
      <c r="C41" s="80" t="s">
        <v>80</v>
      </c>
      <c r="D41" s="80"/>
      <c r="E41" s="80"/>
      <c r="F41" s="80"/>
      <c r="G41" s="80"/>
      <c r="H41" s="80"/>
      <c r="I41" s="80"/>
      <c r="J41" s="80"/>
      <c r="K41" s="2" t="s">
        <v>115</v>
      </c>
      <c r="L41" s="3">
        <f>1.23249+0.35958*G5+0.1473*POWER(G4,0.5)*G5/100</f>
        <v>7.614308439257157</v>
      </c>
    </row>
    <row r="42" spans="1:11" ht="13.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2"/>
    </row>
    <row r="43" spans="1:12" ht="15.75">
      <c r="A43" s="80" t="s">
        <v>81</v>
      </c>
      <c r="B43" s="80"/>
      <c r="C43" s="80"/>
      <c r="D43" s="80"/>
      <c r="E43" s="3">
        <f>G9/L41</f>
        <v>48.242069904359724</v>
      </c>
      <c r="F43" s="80" t="s">
        <v>82</v>
      </c>
      <c r="G43" s="81"/>
      <c r="H43" s="81"/>
      <c r="I43" s="2"/>
      <c r="K43" s="2" t="s">
        <v>115</v>
      </c>
      <c r="L43" s="3">
        <f>200*POWER(E43/(3.14*G4),0.5)</f>
        <v>17.529242157064786</v>
      </c>
    </row>
    <row r="44" spans="1:11" ht="13.5">
      <c r="A44" s="52"/>
      <c r="B44" s="52"/>
      <c r="C44" s="52"/>
      <c r="D44" s="52"/>
      <c r="F44" s="52"/>
      <c r="G44" s="1"/>
      <c r="H44" s="1"/>
      <c r="I44" s="2"/>
      <c r="K44" s="2"/>
    </row>
    <row r="45" spans="1:12" ht="15.75">
      <c r="A45" s="2" t="s">
        <v>83</v>
      </c>
      <c r="K45" s="2" t="s">
        <v>115</v>
      </c>
      <c r="L45" s="65">
        <f>-0.32087+0.9824*L43-0.04745*POWER(G4,0.5)*G5/100</f>
        <v>16.581553218503352</v>
      </c>
    </row>
    <row r="46" spans="1:12" ht="13.5">
      <c r="A46" s="2"/>
      <c r="K46" s="2"/>
      <c r="L46" s="20"/>
    </row>
    <row r="47" spans="1:12" ht="13.5">
      <c r="A47" s="2"/>
      <c r="K47" s="2"/>
      <c r="L47" s="20"/>
    </row>
    <row r="48" spans="1:2" ht="13.5">
      <c r="A48" s="21" t="s">
        <v>84</v>
      </c>
      <c r="B48" s="3" t="s">
        <v>53</v>
      </c>
    </row>
    <row r="49" spans="1:7" ht="13.5">
      <c r="A49" s="21" t="s">
        <v>85</v>
      </c>
      <c r="B49" s="3" t="s">
        <v>56</v>
      </c>
      <c r="G49" s="2" t="s">
        <v>54</v>
      </c>
    </row>
    <row r="50" spans="1:7" ht="13.5">
      <c r="A50" s="21" t="s">
        <v>86</v>
      </c>
      <c r="B50" s="3" t="s">
        <v>59</v>
      </c>
      <c r="G50" s="2" t="s">
        <v>57</v>
      </c>
    </row>
    <row r="51" spans="1:7" ht="13.5">
      <c r="A51" s="21" t="s">
        <v>87</v>
      </c>
      <c r="B51" s="3" t="s">
        <v>62</v>
      </c>
      <c r="G51" s="2" t="s">
        <v>60</v>
      </c>
    </row>
    <row r="52" spans="1:7" ht="13.5">
      <c r="A52" s="21" t="s">
        <v>88</v>
      </c>
      <c r="B52" s="3" t="s">
        <v>65</v>
      </c>
      <c r="G52" s="2" t="s">
        <v>63</v>
      </c>
    </row>
    <row r="53" spans="1:2" ht="13.5">
      <c r="A53" s="21" t="s">
        <v>89</v>
      </c>
      <c r="B53" s="3" t="s">
        <v>67</v>
      </c>
    </row>
    <row r="54" ht="13.5">
      <c r="A54" s="21"/>
    </row>
  </sheetData>
  <mergeCells count="29">
    <mergeCell ref="H30:I30"/>
    <mergeCell ref="A36:B36"/>
    <mergeCell ref="A43:D43"/>
    <mergeCell ref="F43:H43"/>
    <mergeCell ref="B38:C38"/>
    <mergeCell ref="B27:C27"/>
    <mergeCell ref="E7:F7"/>
    <mergeCell ref="B30:C30"/>
    <mergeCell ref="E30:F30"/>
    <mergeCell ref="C15:D15"/>
    <mergeCell ref="E16:F16"/>
    <mergeCell ref="B19:C19"/>
    <mergeCell ref="K10:L10"/>
    <mergeCell ref="C41:J41"/>
    <mergeCell ref="B29:C29"/>
    <mergeCell ref="E29:F29"/>
    <mergeCell ref="E10:F10"/>
    <mergeCell ref="E11:F11"/>
    <mergeCell ref="B39:C39"/>
    <mergeCell ref="B33:C33"/>
    <mergeCell ref="B31:C31"/>
    <mergeCell ref="B23:C23"/>
    <mergeCell ref="A1:B1"/>
    <mergeCell ref="D1:H1"/>
    <mergeCell ref="E8:F8"/>
    <mergeCell ref="E9:F9"/>
    <mergeCell ref="E4:F4"/>
    <mergeCell ref="E5:F5"/>
    <mergeCell ref="E6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54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9.00390625" style="3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4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8" ht="14.25" thickBot="1">
      <c r="A1" s="80" t="s">
        <v>116</v>
      </c>
      <c r="B1" s="81"/>
      <c r="C1" s="2" t="s">
        <v>155</v>
      </c>
      <c r="D1" s="74"/>
      <c r="E1" s="75"/>
      <c r="F1" s="75"/>
      <c r="G1" s="75"/>
      <c r="H1" s="76"/>
    </row>
    <row r="2" spans="1:10" ht="14.25" thickBot="1">
      <c r="A2" s="4" t="s">
        <v>28</v>
      </c>
      <c r="C2" s="45" t="s">
        <v>154</v>
      </c>
      <c r="D2" s="46"/>
      <c r="E2" s="47" t="s">
        <v>117</v>
      </c>
      <c r="F2" s="48"/>
      <c r="G2" s="5"/>
      <c r="H2" s="3" t="s">
        <v>118</v>
      </c>
      <c r="J2" s="6" t="s">
        <v>30</v>
      </c>
    </row>
    <row r="3" ht="13.5">
      <c r="J3" s="2" t="s">
        <v>74</v>
      </c>
    </row>
    <row r="4" spans="3:8" ht="13.5">
      <c r="C4" s="7" t="s">
        <v>0</v>
      </c>
      <c r="D4" s="8"/>
      <c r="E4" s="61" t="s">
        <v>1</v>
      </c>
      <c r="F4" s="62"/>
      <c r="G4" s="10"/>
      <c r="H4" s="11" t="s">
        <v>32</v>
      </c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75</v>
      </c>
    </row>
    <row r="6" spans="3:10" ht="13.5">
      <c r="C6" s="7" t="s">
        <v>4</v>
      </c>
      <c r="D6" s="8"/>
      <c r="E6" s="61" t="s">
        <v>5</v>
      </c>
      <c r="F6" s="62"/>
      <c r="G6" s="14" t="e">
        <f>L45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ROUND(5.38221-1.51185*LOG($G$5),2)</f>
        <v>#NUM!</v>
      </c>
      <c r="H7" s="11"/>
      <c r="J7" s="13" t="s">
        <v>76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8" ht="13.5">
      <c r="C9" s="7" t="s">
        <v>8</v>
      </c>
      <c r="D9" s="8"/>
      <c r="E9" s="61"/>
      <c r="F9" s="62"/>
      <c r="G9" s="8" t="e">
        <f>ROUND(POWER((C21*POWER($G$5,F21)+G21*POWER($G$5,J21)/$G$4),-1),2)</f>
        <v>#DIV/0!</v>
      </c>
      <c r="H9" s="11"/>
    </row>
    <row r="10" spans="3:14" ht="13.5">
      <c r="C10" s="7" t="s">
        <v>9</v>
      </c>
      <c r="D10" s="8"/>
      <c r="E10" s="61"/>
      <c r="F10" s="62"/>
      <c r="G10" s="8" t="e">
        <f>ROUND(POWER((C25*POWER($G$5,F25)+G25*POWER($G$5,J25)/$G$8),-1),2)</f>
        <v>#DIV/0!</v>
      </c>
      <c r="H10" s="11"/>
      <c r="J10" s="49" t="s">
        <v>38</v>
      </c>
      <c r="K10" s="93" t="e">
        <f>ROUND(G5/G6*100,0)</f>
        <v>#DIV/0!</v>
      </c>
      <c r="L10" s="93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E39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3">
        <v>0.074343</v>
      </c>
      <c r="D21" s="3" t="s">
        <v>18</v>
      </c>
      <c r="E21" s="1" t="s">
        <v>2</v>
      </c>
      <c r="F21" s="30">
        <v>-1.388481</v>
      </c>
      <c r="G21" s="59" t="s">
        <v>149</v>
      </c>
      <c r="H21" s="3" t="s">
        <v>18</v>
      </c>
      <c r="I21" s="1" t="s">
        <v>2</v>
      </c>
      <c r="J21" s="32">
        <v>-2.900328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0.074343</v>
      </c>
      <c r="D22" s="3" t="s">
        <v>18</v>
      </c>
      <c r="E22" s="34">
        <f>$G$5</f>
        <v>0</v>
      </c>
      <c r="F22" s="30">
        <f>F21</f>
        <v>-1.388481</v>
      </c>
      <c r="G22" s="31" t="str">
        <f>G21</f>
        <v>＋5065</v>
      </c>
      <c r="H22" s="3" t="s">
        <v>18</v>
      </c>
      <c r="I22" s="34">
        <f>$G$5</f>
        <v>0</v>
      </c>
      <c r="J22" s="32">
        <f>J21</f>
        <v>-2.900328</v>
      </c>
      <c r="K22" s="3" t="s">
        <v>20</v>
      </c>
      <c r="L22" s="35">
        <f>G4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21" t="s">
        <v>22</v>
      </c>
      <c r="B25" s="3" t="s">
        <v>17</v>
      </c>
      <c r="C25" s="3">
        <v>0.074343</v>
      </c>
      <c r="D25" s="3" t="s">
        <v>18</v>
      </c>
      <c r="E25" s="1" t="s">
        <v>2</v>
      </c>
      <c r="F25" s="30">
        <v>-1.388481</v>
      </c>
      <c r="G25" s="59" t="s">
        <v>120</v>
      </c>
      <c r="H25" s="3" t="s">
        <v>18</v>
      </c>
      <c r="I25" s="1" t="s">
        <v>2</v>
      </c>
      <c r="J25" s="32">
        <v>-2.900328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3">
        <f>C25</f>
        <v>0.074343</v>
      </c>
      <c r="D26" s="3" t="s">
        <v>18</v>
      </c>
      <c r="E26" s="34">
        <f>$G$5</f>
        <v>0</v>
      </c>
      <c r="F26" s="30">
        <f>F25</f>
        <v>-1.388481</v>
      </c>
      <c r="G26" s="31" t="str">
        <f>G25</f>
        <v>＋5065</v>
      </c>
      <c r="H26" s="3" t="s">
        <v>18</v>
      </c>
      <c r="I26" s="34">
        <f>$G$5</f>
        <v>0</v>
      </c>
      <c r="J26" s="32">
        <f>J25</f>
        <v>-2.900328</v>
      </c>
      <c r="K26" s="3" t="s">
        <v>20</v>
      </c>
      <c r="L26" s="3" t="e">
        <f>B33</f>
        <v>#NUM!</v>
      </c>
      <c r="M26" s="3" t="s">
        <v>21</v>
      </c>
      <c r="N26" s="32">
        <v>-1</v>
      </c>
    </row>
    <row r="27" spans="1:3" ht="13.5">
      <c r="A27" s="33" t="s">
        <v>15</v>
      </c>
      <c r="B27" s="72" t="e">
        <f>G10</f>
        <v>#DIV/0!</v>
      </c>
      <c r="C27" s="72"/>
    </row>
    <row r="29" spans="1:8" ht="13.5">
      <c r="A29" s="21" t="s">
        <v>23</v>
      </c>
      <c r="B29" s="81">
        <v>5.38221</v>
      </c>
      <c r="C29" s="81"/>
      <c r="D29" s="3" t="s">
        <v>24</v>
      </c>
      <c r="E29" s="81">
        <v>1.51185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5.38221</v>
      </c>
      <c r="C30" s="81"/>
      <c r="D30" s="3" t="s">
        <v>24</v>
      </c>
      <c r="E30" s="81">
        <f>E29</f>
        <v>1.51185</v>
      </c>
      <c r="F30" s="81"/>
      <c r="G30" s="3" t="s">
        <v>25</v>
      </c>
      <c r="H30" s="63">
        <f>G5</f>
        <v>0</v>
      </c>
      <c r="I30" s="85"/>
    </row>
    <row r="31" spans="1:3" ht="13.5">
      <c r="A31" s="21" t="s">
        <v>15</v>
      </c>
      <c r="B31" s="94" t="e">
        <f>G7</f>
        <v>#NUM!</v>
      </c>
      <c r="C31" s="81"/>
    </row>
    <row r="33" spans="1:3" ht="13.5">
      <c r="A33" s="21" t="s">
        <v>26</v>
      </c>
      <c r="B33" s="81" t="e">
        <f>G8</f>
        <v>#NUM!</v>
      </c>
      <c r="C33" s="81"/>
    </row>
    <row r="35" spans="1:5" ht="13.5">
      <c r="A35" s="37">
        <f>+G13</f>
        <v>0</v>
      </c>
      <c r="B35" s="3" t="s">
        <v>68</v>
      </c>
      <c r="E35" s="3" t="s">
        <v>69</v>
      </c>
    </row>
    <row r="36" spans="1:4" ht="13.5">
      <c r="A36" s="86" t="s">
        <v>144</v>
      </c>
      <c r="B36" s="87"/>
      <c r="C36" s="38">
        <f>G15</f>
        <v>0</v>
      </c>
      <c r="D36" s="3" t="s">
        <v>70</v>
      </c>
    </row>
    <row r="37" spans="1:14" ht="15.75">
      <c r="A37" s="50" t="s">
        <v>146</v>
      </c>
      <c r="B37" s="3" t="s">
        <v>17</v>
      </c>
      <c r="C37" s="3">
        <v>0.074343</v>
      </c>
      <c r="D37" s="3" t="s">
        <v>18</v>
      </c>
      <c r="E37" s="1" t="s">
        <v>2</v>
      </c>
      <c r="F37" s="30">
        <v>-1.388481</v>
      </c>
      <c r="G37" s="59" t="s">
        <v>149</v>
      </c>
      <c r="H37" s="3" t="s">
        <v>18</v>
      </c>
      <c r="I37" s="1" t="s">
        <v>2</v>
      </c>
      <c r="J37" s="32">
        <v>-2.900328</v>
      </c>
      <c r="K37" s="3" t="s">
        <v>20</v>
      </c>
      <c r="L37" s="52" t="s">
        <v>147</v>
      </c>
      <c r="M37" s="3" t="s">
        <v>21</v>
      </c>
      <c r="N37" s="32">
        <v>-1</v>
      </c>
    </row>
    <row r="38" spans="1:14" ht="15.75">
      <c r="A38" s="50" t="s">
        <v>106</v>
      </c>
      <c r="B38" s="89" t="e">
        <f>ROUND(POWER((C37*POWER(G5,F37)+G37*POWER(G5,J37)/C36),-1),2)</f>
        <v>#DIV/0!</v>
      </c>
      <c r="C38" s="89"/>
      <c r="E38" s="1"/>
      <c r="F38" s="30"/>
      <c r="G38" s="31"/>
      <c r="I38" s="1"/>
      <c r="L38" s="1"/>
      <c r="N38" s="32"/>
    </row>
    <row r="39" spans="1:14" ht="15.75">
      <c r="A39" s="50" t="s">
        <v>141</v>
      </c>
      <c r="B39" s="80" t="s">
        <v>150</v>
      </c>
      <c r="C39" s="81"/>
      <c r="D39" s="2" t="s">
        <v>106</v>
      </c>
      <c r="E39" s="66" t="e">
        <f>ROUND(B38/B27,2)</f>
        <v>#DIV/0!</v>
      </c>
      <c r="F39" s="30"/>
      <c r="G39" s="31"/>
      <c r="I39" s="34"/>
      <c r="J39" s="32"/>
      <c r="L39" s="39"/>
      <c r="N39" s="32"/>
    </row>
    <row r="40" spans="6:13" ht="13.5">
      <c r="F40" s="41"/>
      <c r="J40" s="42"/>
      <c r="K40" s="36"/>
      <c r="M40" s="1"/>
    </row>
    <row r="41" spans="1:12" ht="15.75">
      <c r="A41" s="50" t="s">
        <v>92</v>
      </c>
      <c r="B41" s="51" t="s">
        <v>93</v>
      </c>
      <c r="C41" s="80" t="s">
        <v>121</v>
      </c>
      <c r="D41" s="80"/>
      <c r="E41" s="80"/>
      <c r="F41" s="80"/>
      <c r="G41" s="80"/>
      <c r="H41" s="80"/>
      <c r="I41" s="80"/>
      <c r="J41" s="80"/>
      <c r="K41" s="2" t="s">
        <v>119</v>
      </c>
      <c r="L41" s="3">
        <f>1.273477+0.36758*G5+0.140427*POWER(G4,0.5)*G5/100</f>
        <v>1.273477</v>
      </c>
    </row>
    <row r="42" spans="1:11" ht="13.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2"/>
    </row>
    <row r="43" spans="1:12" ht="15.75">
      <c r="A43" s="80" t="s">
        <v>94</v>
      </c>
      <c r="B43" s="80"/>
      <c r="C43" s="80"/>
      <c r="D43" s="80"/>
      <c r="E43" s="3" t="e">
        <f>G9/L41</f>
        <v>#DIV/0!</v>
      </c>
      <c r="F43" s="80" t="s">
        <v>95</v>
      </c>
      <c r="G43" s="81"/>
      <c r="H43" s="81"/>
      <c r="I43" s="2"/>
      <c r="K43" s="2" t="s">
        <v>119</v>
      </c>
      <c r="L43" s="3" t="e">
        <f>200*POWER(E43/(3.14*G4),0.5)</f>
        <v>#DIV/0!</v>
      </c>
    </row>
    <row r="44" spans="1:11" ht="13.5">
      <c r="A44" s="52"/>
      <c r="B44" s="52"/>
      <c r="C44" s="52"/>
      <c r="D44" s="52"/>
      <c r="F44" s="52"/>
      <c r="G44" s="1"/>
      <c r="H44" s="1"/>
      <c r="I44" s="2"/>
      <c r="K44" s="2"/>
    </row>
    <row r="45" spans="1:12" ht="15.75">
      <c r="A45" s="2" t="s">
        <v>122</v>
      </c>
      <c r="K45" s="2" t="s">
        <v>119</v>
      </c>
      <c r="L45" s="65" t="e">
        <f>-0.15213+0.985016*L43-0.028142*POWER(G4,0.5)*G5/100</f>
        <v>#DIV/0!</v>
      </c>
    </row>
    <row r="46" spans="1:12" ht="13.5">
      <c r="A46" s="2"/>
      <c r="K46" s="2"/>
      <c r="L46" s="20"/>
    </row>
    <row r="47" spans="1:12" ht="13.5">
      <c r="A47" s="2"/>
      <c r="K47" s="2"/>
      <c r="L47" s="20"/>
    </row>
    <row r="48" spans="1:2" ht="13.5">
      <c r="A48" s="21" t="s">
        <v>96</v>
      </c>
      <c r="B48" s="3" t="s">
        <v>53</v>
      </c>
    </row>
    <row r="49" spans="1:7" ht="13.5">
      <c r="A49" s="21" t="s">
        <v>85</v>
      </c>
      <c r="B49" s="3" t="s">
        <v>56</v>
      </c>
      <c r="G49" s="2" t="s">
        <v>54</v>
      </c>
    </row>
    <row r="50" spans="1:7" ht="13.5">
      <c r="A50" s="21" t="s">
        <v>86</v>
      </c>
      <c r="B50" s="3" t="s">
        <v>59</v>
      </c>
      <c r="G50" s="2" t="s">
        <v>57</v>
      </c>
    </row>
    <row r="51" spans="1:7" ht="13.5">
      <c r="A51" s="21" t="s">
        <v>87</v>
      </c>
      <c r="B51" s="3" t="s">
        <v>62</v>
      </c>
      <c r="G51" s="2" t="s">
        <v>60</v>
      </c>
    </row>
    <row r="52" spans="1:7" ht="13.5">
      <c r="A52" s="21" t="s">
        <v>88</v>
      </c>
      <c r="B52" s="3" t="s">
        <v>65</v>
      </c>
      <c r="G52" s="2" t="s">
        <v>63</v>
      </c>
    </row>
    <row r="53" spans="1:2" ht="13.5">
      <c r="A53" s="21" t="s">
        <v>89</v>
      </c>
      <c r="B53" s="3" t="s">
        <v>67</v>
      </c>
    </row>
    <row r="54" ht="13.5">
      <c r="A54" s="21"/>
    </row>
  </sheetData>
  <mergeCells count="29">
    <mergeCell ref="B30:C30"/>
    <mergeCell ref="A1:B1"/>
    <mergeCell ref="D1:H1"/>
    <mergeCell ref="E8:F8"/>
    <mergeCell ref="E9:F9"/>
    <mergeCell ref="E4:F4"/>
    <mergeCell ref="E5:F5"/>
    <mergeCell ref="E6:F6"/>
    <mergeCell ref="E7:F7"/>
    <mergeCell ref="B29:C29"/>
    <mergeCell ref="E29:F29"/>
    <mergeCell ref="E10:F10"/>
    <mergeCell ref="E11:F11"/>
    <mergeCell ref="B23:C23"/>
    <mergeCell ref="B27:C27"/>
    <mergeCell ref="C15:D15"/>
    <mergeCell ref="E16:F16"/>
    <mergeCell ref="B19:C19"/>
    <mergeCell ref="K10:L10"/>
    <mergeCell ref="H30:I30"/>
    <mergeCell ref="A36:B36"/>
    <mergeCell ref="A43:D43"/>
    <mergeCell ref="F43:H43"/>
    <mergeCell ref="B31:C31"/>
    <mergeCell ref="B38:C38"/>
    <mergeCell ref="B39:C39"/>
    <mergeCell ref="E30:F30"/>
    <mergeCell ref="C41:J41"/>
    <mergeCell ref="B33:C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N54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9.00390625" style="3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4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8" ht="14.25" thickBot="1">
      <c r="A1" s="80" t="s">
        <v>123</v>
      </c>
      <c r="B1" s="81"/>
      <c r="C1" s="2" t="s">
        <v>155</v>
      </c>
      <c r="D1" s="74"/>
      <c r="E1" s="75"/>
      <c r="F1" s="75"/>
      <c r="G1" s="75"/>
      <c r="H1" s="76"/>
    </row>
    <row r="2" spans="1:10" ht="14.25" thickBot="1">
      <c r="A2" s="4" t="s">
        <v>28</v>
      </c>
      <c r="C2" s="45" t="s">
        <v>154</v>
      </c>
      <c r="D2" s="46"/>
      <c r="E2" s="47" t="s">
        <v>124</v>
      </c>
      <c r="F2" s="48"/>
      <c r="G2" s="5"/>
      <c r="H2" s="3" t="s">
        <v>125</v>
      </c>
      <c r="J2" s="6" t="s">
        <v>30</v>
      </c>
    </row>
    <row r="3" ht="13.5">
      <c r="J3" s="2" t="s">
        <v>74</v>
      </c>
    </row>
    <row r="4" spans="3:8" ht="13.5">
      <c r="C4" s="7" t="s">
        <v>0</v>
      </c>
      <c r="D4" s="8"/>
      <c r="E4" s="61" t="s">
        <v>1</v>
      </c>
      <c r="F4" s="62"/>
      <c r="G4" s="10"/>
      <c r="H4" s="11" t="s">
        <v>32</v>
      </c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75</v>
      </c>
    </row>
    <row r="6" spans="3:10" ht="13.5">
      <c r="C6" s="7" t="s">
        <v>4</v>
      </c>
      <c r="D6" s="8"/>
      <c r="E6" s="61" t="s">
        <v>5</v>
      </c>
      <c r="F6" s="62"/>
      <c r="G6" s="14" t="e">
        <f>L45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ROUND(B29-E29*LOG($G$5),2)</f>
        <v>#NUM!</v>
      </c>
      <c r="H7" s="11"/>
      <c r="J7" s="13" t="s">
        <v>76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8" ht="13.5">
      <c r="C9" s="7" t="s">
        <v>8</v>
      </c>
      <c r="D9" s="8"/>
      <c r="E9" s="61"/>
      <c r="F9" s="62"/>
      <c r="G9" s="8" t="e">
        <f>ROUND(POWER((C21*POWER($G$5,F21)+G21*POWER($G$5,J21)/$G$4),-1),2)</f>
        <v>#DIV/0!</v>
      </c>
      <c r="H9" s="11"/>
    </row>
    <row r="10" spans="3:14" ht="13.5">
      <c r="C10" s="7" t="s">
        <v>9</v>
      </c>
      <c r="D10" s="8"/>
      <c r="E10" s="61"/>
      <c r="F10" s="62"/>
      <c r="G10" s="8" t="e">
        <f>ROUND(POWER((C25*POWER($G$5,F25)+G25*POWER($G$5,J25)/$G$8),-1),2)</f>
        <v>#DIV/0!</v>
      </c>
      <c r="H10" s="11"/>
      <c r="J10" s="49" t="s">
        <v>38</v>
      </c>
      <c r="K10" s="93" t="e">
        <f>ROUND(G5/G6*100,0)</f>
        <v>#DIV/0!</v>
      </c>
      <c r="L10" s="93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E39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3">
        <v>0.082249</v>
      </c>
      <c r="D21" s="3" t="s">
        <v>18</v>
      </c>
      <c r="E21" s="1" t="s">
        <v>2</v>
      </c>
      <c r="F21" s="30">
        <v>-1.372921</v>
      </c>
      <c r="G21" s="59" t="s">
        <v>126</v>
      </c>
      <c r="H21" s="3" t="s">
        <v>18</v>
      </c>
      <c r="I21" s="1" t="s">
        <v>2</v>
      </c>
      <c r="J21" s="32">
        <v>-2.867826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0.082249</v>
      </c>
      <c r="D22" s="3" t="s">
        <v>18</v>
      </c>
      <c r="E22" s="34">
        <f>$G$5</f>
        <v>0</v>
      </c>
      <c r="F22" s="30">
        <f>F21</f>
        <v>-1.372921</v>
      </c>
      <c r="G22" s="31" t="str">
        <f>G21</f>
        <v>＋3681.6</v>
      </c>
      <c r="H22" s="3" t="s">
        <v>18</v>
      </c>
      <c r="I22" s="34">
        <f>$G$5</f>
        <v>0</v>
      </c>
      <c r="J22" s="32">
        <f>J21</f>
        <v>-2.867826</v>
      </c>
      <c r="K22" s="3" t="s">
        <v>20</v>
      </c>
      <c r="L22" s="35">
        <f>G4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21" t="s">
        <v>22</v>
      </c>
      <c r="B25" s="3" t="s">
        <v>17</v>
      </c>
      <c r="C25" s="3">
        <f>C21</f>
        <v>0.082249</v>
      </c>
      <c r="D25" s="3" t="s">
        <v>18</v>
      </c>
      <c r="E25" s="1" t="s">
        <v>2</v>
      </c>
      <c r="F25" s="30">
        <f>F21</f>
        <v>-1.372921</v>
      </c>
      <c r="G25" s="59" t="str">
        <f>G21</f>
        <v>＋3681.6</v>
      </c>
      <c r="H25" s="3" t="s">
        <v>18</v>
      </c>
      <c r="I25" s="1" t="s">
        <v>2</v>
      </c>
      <c r="J25" s="32">
        <f>J21</f>
        <v>-2.867826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3">
        <f>C25</f>
        <v>0.082249</v>
      </c>
      <c r="D26" s="3" t="s">
        <v>18</v>
      </c>
      <c r="E26" s="34">
        <f>$G$5</f>
        <v>0</v>
      </c>
      <c r="F26" s="30">
        <f>F25</f>
        <v>-1.372921</v>
      </c>
      <c r="G26" s="31" t="str">
        <f>G25</f>
        <v>＋3681.6</v>
      </c>
      <c r="H26" s="3" t="s">
        <v>18</v>
      </c>
      <c r="I26" s="34">
        <f>$G$5</f>
        <v>0</v>
      </c>
      <c r="J26" s="32">
        <f>J25</f>
        <v>-2.867826</v>
      </c>
      <c r="K26" s="3" t="s">
        <v>20</v>
      </c>
      <c r="L26" s="3" t="e">
        <f>B33</f>
        <v>#NUM!</v>
      </c>
      <c r="M26" s="3" t="s">
        <v>21</v>
      </c>
      <c r="N26" s="32">
        <v>-1</v>
      </c>
    </row>
    <row r="27" spans="1:3" ht="13.5">
      <c r="A27" s="33" t="s">
        <v>15</v>
      </c>
      <c r="B27" s="72" t="e">
        <f>G10</f>
        <v>#DIV/0!</v>
      </c>
      <c r="C27" s="72"/>
    </row>
    <row r="29" spans="1:8" ht="13.5">
      <c r="A29" s="21" t="s">
        <v>23</v>
      </c>
      <c r="B29" s="81">
        <v>5.391307</v>
      </c>
      <c r="C29" s="81"/>
      <c r="D29" s="3" t="s">
        <v>24</v>
      </c>
      <c r="E29" s="81">
        <v>1.494905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5.391307</v>
      </c>
      <c r="C30" s="81"/>
      <c r="D30" s="3" t="s">
        <v>24</v>
      </c>
      <c r="E30" s="81">
        <f>E29</f>
        <v>1.494905</v>
      </c>
      <c r="F30" s="81"/>
      <c r="G30" s="3" t="s">
        <v>25</v>
      </c>
      <c r="H30" s="63">
        <f>G5</f>
        <v>0</v>
      </c>
      <c r="I30" s="85"/>
    </row>
    <row r="31" spans="1:3" ht="13.5">
      <c r="A31" s="21" t="s">
        <v>15</v>
      </c>
      <c r="B31" s="73" t="e">
        <f>G7</f>
        <v>#NUM!</v>
      </c>
      <c r="C31" s="72"/>
    </row>
    <row r="33" spans="1:3" ht="13.5">
      <c r="A33" s="21" t="s">
        <v>26</v>
      </c>
      <c r="B33" s="72" t="e">
        <f>G8</f>
        <v>#NUM!</v>
      </c>
      <c r="C33" s="72"/>
    </row>
    <row r="35" spans="1:5" ht="13.5">
      <c r="A35" s="37">
        <f>+G13</f>
        <v>0</v>
      </c>
      <c r="B35" s="3" t="s">
        <v>68</v>
      </c>
      <c r="E35" s="3" t="s">
        <v>69</v>
      </c>
    </row>
    <row r="36" spans="1:4" ht="13.5">
      <c r="A36" s="86" t="s">
        <v>144</v>
      </c>
      <c r="B36" s="87"/>
      <c r="C36" s="38">
        <f>G15</f>
        <v>0</v>
      </c>
      <c r="D36" s="3" t="s">
        <v>70</v>
      </c>
    </row>
    <row r="37" spans="1:14" ht="15.75">
      <c r="A37" s="50" t="s">
        <v>146</v>
      </c>
      <c r="B37" s="3" t="s">
        <v>17</v>
      </c>
      <c r="C37" s="3">
        <v>0.082249</v>
      </c>
      <c r="D37" s="3" t="s">
        <v>18</v>
      </c>
      <c r="E37" s="1" t="s">
        <v>2</v>
      </c>
      <c r="F37" s="30">
        <v>-1.372921</v>
      </c>
      <c r="G37" s="59" t="s">
        <v>126</v>
      </c>
      <c r="H37" s="3" t="s">
        <v>18</v>
      </c>
      <c r="I37" s="1" t="s">
        <v>2</v>
      </c>
      <c r="J37" s="32">
        <v>-2.867826</v>
      </c>
      <c r="K37" s="3" t="s">
        <v>20</v>
      </c>
      <c r="L37" s="52" t="s">
        <v>147</v>
      </c>
      <c r="M37" s="3" t="s">
        <v>21</v>
      </c>
      <c r="N37" s="32">
        <v>-1</v>
      </c>
    </row>
    <row r="38" spans="1:14" ht="15.75">
      <c r="A38" s="50" t="s">
        <v>106</v>
      </c>
      <c r="B38" s="72" t="e">
        <f>ROUND(POWER((C37*POWER(G5,F37)+G37*POWER(G5,J37)/C36),-1),2)</f>
        <v>#DIV/0!</v>
      </c>
      <c r="C38" s="72"/>
      <c r="E38" s="1"/>
      <c r="F38" s="30"/>
      <c r="G38" s="31"/>
      <c r="I38" s="1"/>
      <c r="J38" s="32"/>
      <c r="L38" s="1"/>
      <c r="N38" s="32"/>
    </row>
    <row r="39" spans="1:14" ht="15.75">
      <c r="A39" s="50" t="s">
        <v>141</v>
      </c>
      <c r="B39" s="80" t="s">
        <v>150</v>
      </c>
      <c r="C39" s="81"/>
      <c r="D39" s="2" t="s">
        <v>143</v>
      </c>
      <c r="E39" s="66" t="e">
        <f>ROUND(B38/B27,2)</f>
        <v>#DIV/0!</v>
      </c>
      <c r="F39" s="30"/>
      <c r="G39" s="31"/>
      <c r="I39" s="34"/>
      <c r="J39" s="32"/>
      <c r="L39" s="39"/>
      <c r="N39" s="32"/>
    </row>
    <row r="40" spans="6:13" ht="13.5">
      <c r="F40" s="41"/>
      <c r="J40" s="42"/>
      <c r="K40" s="36"/>
      <c r="M40" s="1"/>
    </row>
    <row r="41" spans="1:12" ht="15.75">
      <c r="A41" s="50" t="s">
        <v>92</v>
      </c>
      <c r="B41" s="51" t="s">
        <v>93</v>
      </c>
      <c r="C41" s="95" t="s">
        <v>127</v>
      </c>
      <c r="D41" s="80"/>
      <c r="E41" s="80"/>
      <c r="F41" s="80"/>
      <c r="G41" s="80"/>
      <c r="H41" s="80"/>
      <c r="I41" s="80"/>
      <c r="J41" s="80"/>
      <c r="K41" s="2" t="s">
        <v>119</v>
      </c>
      <c r="L41" s="3">
        <f>0.808545+0.402345*G5+0.140882*POWER(G4,0.5)*G5/100</f>
        <v>0.808545</v>
      </c>
    </row>
    <row r="42" spans="1:11" ht="13.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2"/>
    </row>
    <row r="43" spans="1:12" ht="15.75">
      <c r="A43" s="80" t="s">
        <v>94</v>
      </c>
      <c r="B43" s="80"/>
      <c r="C43" s="80"/>
      <c r="D43" s="80"/>
      <c r="E43" s="3" t="e">
        <f>G9/L41</f>
        <v>#DIV/0!</v>
      </c>
      <c r="F43" s="80" t="s">
        <v>95</v>
      </c>
      <c r="G43" s="81"/>
      <c r="H43" s="81"/>
      <c r="I43" s="2"/>
      <c r="K43" s="2" t="s">
        <v>119</v>
      </c>
      <c r="L43" s="3" t="e">
        <f>200*POWER(E43/(3.14*G4),0.5)</f>
        <v>#DIV/0!</v>
      </c>
    </row>
    <row r="44" spans="1:11" ht="13.5">
      <c r="A44" s="52"/>
      <c r="B44" s="52"/>
      <c r="C44" s="52"/>
      <c r="D44" s="52"/>
      <c r="F44" s="52"/>
      <c r="G44" s="1"/>
      <c r="H44" s="1"/>
      <c r="I44" s="2"/>
      <c r="K44" s="2"/>
    </row>
    <row r="45" spans="1:12" ht="15.75">
      <c r="A45" s="2" t="s">
        <v>128</v>
      </c>
      <c r="K45" s="2" t="s">
        <v>119</v>
      </c>
      <c r="L45" s="65" t="e">
        <f>-0.000379+0.981298*L43-0.028497*POWER(G4,0.5)*G5/100</f>
        <v>#DIV/0!</v>
      </c>
    </row>
    <row r="46" spans="1:12" ht="13.5">
      <c r="A46" s="2"/>
      <c r="K46" s="2"/>
      <c r="L46" s="20"/>
    </row>
    <row r="47" spans="1:12" ht="13.5">
      <c r="A47" s="2"/>
      <c r="K47" s="2"/>
      <c r="L47" s="20"/>
    </row>
    <row r="48" spans="1:2" ht="13.5">
      <c r="A48" s="21" t="s">
        <v>96</v>
      </c>
      <c r="B48" s="3" t="s">
        <v>53</v>
      </c>
    </row>
    <row r="49" spans="1:7" ht="13.5">
      <c r="A49" s="21" t="s">
        <v>85</v>
      </c>
      <c r="B49" s="3" t="s">
        <v>56</v>
      </c>
      <c r="G49" s="2" t="s">
        <v>54</v>
      </c>
    </row>
    <row r="50" spans="1:7" ht="13.5">
      <c r="A50" s="21" t="s">
        <v>86</v>
      </c>
      <c r="B50" s="3" t="s">
        <v>59</v>
      </c>
      <c r="G50" s="2" t="s">
        <v>57</v>
      </c>
    </row>
    <row r="51" spans="1:7" ht="13.5">
      <c r="A51" s="21" t="s">
        <v>87</v>
      </c>
      <c r="B51" s="3" t="s">
        <v>62</v>
      </c>
      <c r="G51" s="2" t="s">
        <v>60</v>
      </c>
    </row>
    <row r="52" spans="1:7" ht="13.5">
      <c r="A52" s="21" t="s">
        <v>88</v>
      </c>
      <c r="B52" s="3" t="s">
        <v>65</v>
      </c>
      <c r="G52" s="2" t="s">
        <v>63</v>
      </c>
    </row>
    <row r="53" spans="1:2" ht="13.5">
      <c r="A53" s="21" t="s">
        <v>89</v>
      </c>
      <c r="B53" s="3" t="s">
        <v>67</v>
      </c>
    </row>
    <row r="54" ht="13.5">
      <c r="A54" s="21"/>
    </row>
  </sheetData>
  <mergeCells count="29">
    <mergeCell ref="B38:C38"/>
    <mergeCell ref="K10:L10"/>
    <mergeCell ref="H30:I30"/>
    <mergeCell ref="A36:B36"/>
    <mergeCell ref="A43:D43"/>
    <mergeCell ref="F43:H43"/>
    <mergeCell ref="B31:C31"/>
    <mergeCell ref="E30:F30"/>
    <mergeCell ref="C41:J41"/>
    <mergeCell ref="B33:C33"/>
    <mergeCell ref="B30:C30"/>
    <mergeCell ref="E29:F29"/>
    <mergeCell ref="E10:F10"/>
    <mergeCell ref="E11:F11"/>
    <mergeCell ref="B23:C23"/>
    <mergeCell ref="B27:C27"/>
    <mergeCell ref="C15:D15"/>
    <mergeCell ref="E16:F16"/>
    <mergeCell ref="B19:C19"/>
    <mergeCell ref="B39:C39"/>
    <mergeCell ref="A1:B1"/>
    <mergeCell ref="D1:H1"/>
    <mergeCell ref="E8:F8"/>
    <mergeCell ref="E9:F9"/>
    <mergeCell ref="E4:F4"/>
    <mergeCell ref="E5:F5"/>
    <mergeCell ref="E6:F6"/>
    <mergeCell ref="E7:F7"/>
    <mergeCell ref="B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N54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9.00390625" style="3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4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8" ht="14.25" thickBot="1">
      <c r="A1" s="80" t="s">
        <v>123</v>
      </c>
      <c r="B1" s="81"/>
      <c r="C1" s="2" t="s">
        <v>155</v>
      </c>
      <c r="D1" s="74"/>
      <c r="E1" s="75"/>
      <c r="F1" s="75"/>
      <c r="G1" s="75"/>
      <c r="H1" s="76"/>
    </row>
    <row r="2" spans="1:10" ht="14.25" thickBot="1">
      <c r="A2" s="4" t="s">
        <v>28</v>
      </c>
      <c r="C2" s="45" t="s">
        <v>154</v>
      </c>
      <c r="D2" s="46"/>
      <c r="E2" s="47" t="s">
        <v>129</v>
      </c>
      <c r="F2" s="48"/>
      <c r="G2" s="5"/>
      <c r="H2" s="3" t="s">
        <v>130</v>
      </c>
      <c r="J2" s="6" t="s">
        <v>30</v>
      </c>
    </row>
    <row r="3" ht="13.5">
      <c r="J3" s="2" t="s">
        <v>74</v>
      </c>
    </row>
    <row r="4" spans="3:8" ht="13.5">
      <c r="C4" s="7" t="s">
        <v>0</v>
      </c>
      <c r="D4" s="8"/>
      <c r="E4" s="61" t="s">
        <v>1</v>
      </c>
      <c r="F4" s="62"/>
      <c r="G4" s="10"/>
      <c r="H4" s="11" t="s">
        <v>32</v>
      </c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75</v>
      </c>
    </row>
    <row r="6" spans="3:10" ht="13.5">
      <c r="C6" s="7" t="s">
        <v>4</v>
      </c>
      <c r="D6" s="8"/>
      <c r="E6" s="61" t="s">
        <v>5</v>
      </c>
      <c r="F6" s="62"/>
      <c r="G6" s="14" t="e">
        <f>L45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ROUND(B29-E29*LOG($G$5),2)</f>
        <v>#NUM!</v>
      </c>
      <c r="H7" s="11"/>
      <c r="J7" s="13" t="s">
        <v>76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8" ht="13.5">
      <c r="C9" s="7" t="s">
        <v>8</v>
      </c>
      <c r="D9" s="8"/>
      <c r="E9" s="61"/>
      <c r="F9" s="62"/>
      <c r="G9" s="8" t="e">
        <f>ROUND(POWER((C21*POWER($G$5,F21)+G21*POWER($G$5,J21)/$G$4),-1),2)</f>
        <v>#DIV/0!</v>
      </c>
      <c r="H9" s="11"/>
    </row>
    <row r="10" spans="3:14" ht="13.5">
      <c r="C10" s="7" t="s">
        <v>9</v>
      </c>
      <c r="D10" s="8"/>
      <c r="E10" s="61"/>
      <c r="F10" s="62"/>
      <c r="G10" s="8" t="e">
        <f>ROUND(POWER((C25*POWER($G$5,F25)+G25*POWER($G$5,J25)/$G$8),-1),2)</f>
        <v>#DIV/0!</v>
      </c>
      <c r="H10" s="11"/>
      <c r="J10" s="49" t="s">
        <v>38</v>
      </c>
      <c r="K10" s="93" t="e">
        <f>ROUND(G5/G6*100,0)</f>
        <v>#DIV/0!</v>
      </c>
      <c r="L10" s="93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E39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3">
        <v>0.07156</v>
      </c>
      <c r="D21" s="3" t="s">
        <v>18</v>
      </c>
      <c r="E21" s="1" t="s">
        <v>2</v>
      </c>
      <c r="F21" s="30">
        <v>-1.373859</v>
      </c>
      <c r="G21" s="59" t="s">
        <v>131</v>
      </c>
      <c r="H21" s="3" t="s">
        <v>18</v>
      </c>
      <c r="I21" s="1" t="s">
        <v>2</v>
      </c>
      <c r="J21" s="32">
        <v>-2.869785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0.07156</v>
      </c>
      <c r="D22" s="3" t="s">
        <v>18</v>
      </c>
      <c r="E22" s="34">
        <f>$G$5</f>
        <v>0</v>
      </c>
      <c r="F22" s="30">
        <f>F21</f>
        <v>-1.373859</v>
      </c>
      <c r="G22" s="31" t="str">
        <f>G21</f>
        <v>＋5062</v>
      </c>
      <c r="H22" s="3" t="s">
        <v>18</v>
      </c>
      <c r="I22" s="34">
        <f>$G$5</f>
        <v>0</v>
      </c>
      <c r="J22" s="32">
        <f>J21</f>
        <v>-2.869785</v>
      </c>
      <c r="K22" s="3" t="s">
        <v>20</v>
      </c>
      <c r="L22" s="35">
        <f>G4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21" t="s">
        <v>22</v>
      </c>
      <c r="B25" s="3" t="s">
        <v>17</v>
      </c>
      <c r="C25" s="3">
        <f>C21</f>
        <v>0.07156</v>
      </c>
      <c r="D25" s="3" t="s">
        <v>18</v>
      </c>
      <c r="E25" s="1" t="s">
        <v>2</v>
      </c>
      <c r="F25" s="30">
        <f>F21</f>
        <v>-1.373859</v>
      </c>
      <c r="G25" s="59" t="str">
        <f>G21</f>
        <v>＋5062</v>
      </c>
      <c r="H25" s="3" t="s">
        <v>18</v>
      </c>
      <c r="I25" s="1" t="s">
        <v>2</v>
      </c>
      <c r="J25" s="32">
        <f>J21</f>
        <v>-2.869785</v>
      </c>
      <c r="K25" s="3" t="s">
        <v>20</v>
      </c>
      <c r="L25" s="1" t="s">
        <v>7</v>
      </c>
      <c r="M25" s="3" t="s">
        <v>21</v>
      </c>
      <c r="N25" s="32">
        <v>-1</v>
      </c>
    </row>
    <row r="26" spans="1:14" ht="15.75">
      <c r="A26" s="33" t="s">
        <v>15</v>
      </c>
      <c r="B26" s="3" t="s">
        <v>17</v>
      </c>
      <c r="C26" s="3">
        <f>C25</f>
        <v>0.07156</v>
      </c>
      <c r="D26" s="3" t="s">
        <v>18</v>
      </c>
      <c r="E26" s="34">
        <f>$G$5</f>
        <v>0</v>
      </c>
      <c r="F26" s="30">
        <f>F25</f>
        <v>-1.373859</v>
      </c>
      <c r="G26" s="31" t="str">
        <f>G25</f>
        <v>＋5062</v>
      </c>
      <c r="H26" s="3" t="s">
        <v>18</v>
      </c>
      <c r="I26" s="34">
        <f>$G$5</f>
        <v>0</v>
      </c>
      <c r="J26" s="32">
        <f>J25</f>
        <v>-2.869785</v>
      </c>
      <c r="K26" s="3" t="s">
        <v>20</v>
      </c>
      <c r="L26" s="3" t="e">
        <f>B33</f>
        <v>#NUM!</v>
      </c>
      <c r="M26" s="3" t="s">
        <v>21</v>
      </c>
      <c r="N26" s="32">
        <v>-1</v>
      </c>
    </row>
    <row r="27" spans="1:3" ht="13.5">
      <c r="A27" s="33" t="s">
        <v>15</v>
      </c>
      <c r="B27" s="72" t="e">
        <f>G10</f>
        <v>#DIV/0!</v>
      </c>
      <c r="C27" s="72"/>
    </row>
    <row r="29" spans="1:8" ht="13.5">
      <c r="A29" s="21" t="s">
        <v>23</v>
      </c>
      <c r="B29" s="81">
        <v>5.370947</v>
      </c>
      <c r="C29" s="81"/>
      <c r="D29" s="3" t="s">
        <v>24</v>
      </c>
      <c r="E29" s="81">
        <v>1.495926</v>
      </c>
      <c r="F29" s="81"/>
      <c r="G29" s="3" t="s">
        <v>25</v>
      </c>
      <c r="H29" s="3" t="s">
        <v>2</v>
      </c>
    </row>
    <row r="30" spans="1:9" ht="13.5">
      <c r="A30" s="21" t="s">
        <v>15</v>
      </c>
      <c r="B30" s="81">
        <f>B29</f>
        <v>5.370947</v>
      </c>
      <c r="C30" s="81"/>
      <c r="D30" s="3" t="s">
        <v>24</v>
      </c>
      <c r="E30" s="81">
        <f>E29</f>
        <v>1.495926</v>
      </c>
      <c r="F30" s="81"/>
      <c r="G30" s="3" t="s">
        <v>25</v>
      </c>
      <c r="H30" s="63">
        <f>G5</f>
        <v>0</v>
      </c>
      <c r="I30" s="85"/>
    </row>
    <row r="31" spans="1:3" ht="13.5">
      <c r="A31" s="21" t="s">
        <v>15</v>
      </c>
      <c r="B31" s="94" t="e">
        <f>G7</f>
        <v>#NUM!</v>
      </c>
      <c r="C31" s="81"/>
    </row>
    <row r="33" spans="1:3" ht="13.5">
      <c r="A33" s="21" t="s">
        <v>26</v>
      </c>
      <c r="B33" s="81" t="e">
        <f>G8</f>
        <v>#NUM!</v>
      </c>
      <c r="C33" s="81"/>
    </row>
    <row r="35" spans="1:5" ht="13.5">
      <c r="A35" s="37">
        <f>+G13</f>
        <v>0</v>
      </c>
      <c r="B35" s="3" t="s">
        <v>68</v>
      </c>
      <c r="E35" s="3" t="s">
        <v>69</v>
      </c>
    </row>
    <row r="36" spans="1:4" ht="13.5">
      <c r="A36" s="86" t="s">
        <v>144</v>
      </c>
      <c r="B36" s="87"/>
      <c r="C36" s="38">
        <f>G15</f>
        <v>0</v>
      </c>
      <c r="D36" s="3" t="s">
        <v>70</v>
      </c>
    </row>
    <row r="37" spans="1:14" ht="15.75">
      <c r="A37" s="50" t="s">
        <v>148</v>
      </c>
      <c r="B37" s="3" t="s">
        <v>17</v>
      </c>
      <c r="C37" s="3">
        <v>0.07156</v>
      </c>
      <c r="D37" s="3" t="s">
        <v>18</v>
      </c>
      <c r="E37" s="1" t="s">
        <v>2</v>
      </c>
      <c r="F37" s="30">
        <v>-1.373859</v>
      </c>
      <c r="G37" s="59" t="s">
        <v>131</v>
      </c>
      <c r="H37" s="3" t="s">
        <v>18</v>
      </c>
      <c r="I37" s="1" t="s">
        <v>2</v>
      </c>
      <c r="J37" s="32">
        <v>-2.869785</v>
      </c>
      <c r="K37" s="3" t="s">
        <v>20</v>
      </c>
      <c r="L37" s="52" t="s">
        <v>147</v>
      </c>
      <c r="M37" s="3" t="s">
        <v>21</v>
      </c>
      <c r="N37" s="32">
        <v>-1</v>
      </c>
    </row>
    <row r="38" spans="1:14" ht="15.75">
      <c r="A38" s="50" t="s">
        <v>106</v>
      </c>
      <c r="B38" s="72" t="e">
        <f>ROUND(POWER((C37*POWER(G5,F37)+G37*POWER(G5,J37)/C36),-1),2)</f>
        <v>#DIV/0!</v>
      </c>
      <c r="C38" s="72"/>
      <c r="E38" s="1"/>
      <c r="F38" s="30"/>
      <c r="G38" s="31"/>
      <c r="I38" s="1"/>
      <c r="J38" s="32"/>
      <c r="L38" s="1"/>
      <c r="N38" s="32"/>
    </row>
    <row r="39" spans="1:14" ht="15.75">
      <c r="A39" s="50" t="s">
        <v>141</v>
      </c>
      <c r="B39" s="80" t="s">
        <v>151</v>
      </c>
      <c r="C39" s="81"/>
      <c r="D39" s="2" t="s">
        <v>143</v>
      </c>
      <c r="E39" s="64" t="e">
        <f>ROUND(B38/B27,2)</f>
        <v>#DIV/0!</v>
      </c>
      <c r="F39" s="30"/>
      <c r="G39" s="31"/>
      <c r="I39" s="34"/>
      <c r="J39" s="32"/>
      <c r="L39" s="39"/>
      <c r="N39" s="32"/>
    </row>
    <row r="40" spans="6:13" ht="13.5">
      <c r="F40" s="41"/>
      <c r="J40" s="42"/>
      <c r="K40" s="36"/>
      <c r="M40" s="1"/>
    </row>
    <row r="41" spans="1:12" ht="15.75">
      <c r="A41" s="50" t="s">
        <v>92</v>
      </c>
      <c r="B41" s="51" t="s">
        <v>93</v>
      </c>
      <c r="C41" s="80" t="s">
        <v>133</v>
      </c>
      <c r="D41" s="80"/>
      <c r="E41" s="80"/>
      <c r="F41" s="80"/>
      <c r="G41" s="80"/>
      <c r="H41" s="80"/>
      <c r="I41" s="80"/>
      <c r="J41" s="80"/>
      <c r="K41" s="2" t="s">
        <v>119</v>
      </c>
      <c r="L41" s="3">
        <f>0.650787+0.417356*G5+0.138768*POWER(G4,0.5)*G5/100</f>
        <v>0.650787</v>
      </c>
    </row>
    <row r="42" spans="1:11" ht="13.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2"/>
    </row>
    <row r="43" spans="1:12" ht="15.75">
      <c r="A43" s="80" t="s">
        <v>94</v>
      </c>
      <c r="B43" s="80"/>
      <c r="C43" s="80"/>
      <c r="D43" s="80"/>
      <c r="E43" s="3" t="e">
        <f>G9/L41</f>
        <v>#DIV/0!</v>
      </c>
      <c r="F43" s="80" t="s">
        <v>95</v>
      </c>
      <c r="G43" s="81"/>
      <c r="H43" s="81"/>
      <c r="I43" s="2"/>
      <c r="K43" s="2" t="s">
        <v>119</v>
      </c>
      <c r="L43" s="3" t="e">
        <f>200*POWER(E43/(3.14*G4),0.5)</f>
        <v>#DIV/0!</v>
      </c>
    </row>
    <row r="44" spans="1:11" ht="13.5">
      <c r="A44" s="52"/>
      <c r="B44" s="52"/>
      <c r="C44" s="52"/>
      <c r="D44" s="52"/>
      <c r="F44" s="52"/>
      <c r="G44" s="1"/>
      <c r="H44" s="1"/>
      <c r="I44" s="2"/>
      <c r="K44" s="2"/>
    </row>
    <row r="45" spans="1:12" ht="15.75">
      <c r="A45" s="2" t="s">
        <v>132</v>
      </c>
      <c r="K45" s="2" t="s">
        <v>119</v>
      </c>
      <c r="L45" s="65" t="e">
        <f>0.193943+0.987164*L43-0.090657*POWER(G4,0.5)*G5/100</f>
        <v>#DIV/0!</v>
      </c>
    </row>
    <row r="46" spans="1:12" ht="13.5">
      <c r="A46" s="2"/>
      <c r="K46" s="2"/>
      <c r="L46" s="20"/>
    </row>
    <row r="47" spans="1:12" ht="13.5">
      <c r="A47" s="2"/>
      <c r="K47" s="2"/>
      <c r="L47" s="20"/>
    </row>
    <row r="48" spans="1:2" ht="13.5">
      <c r="A48" s="21" t="s">
        <v>96</v>
      </c>
      <c r="B48" s="3" t="s">
        <v>53</v>
      </c>
    </row>
    <row r="49" spans="1:7" ht="13.5">
      <c r="A49" s="21" t="s">
        <v>85</v>
      </c>
      <c r="B49" s="3" t="s">
        <v>56</v>
      </c>
      <c r="G49" s="2" t="s">
        <v>54</v>
      </c>
    </row>
    <row r="50" spans="1:7" ht="13.5">
      <c r="A50" s="21" t="s">
        <v>86</v>
      </c>
      <c r="B50" s="3" t="s">
        <v>59</v>
      </c>
      <c r="G50" s="2" t="s">
        <v>57</v>
      </c>
    </row>
    <row r="51" spans="1:7" ht="13.5">
      <c r="A51" s="21" t="s">
        <v>87</v>
      </c>
      <c r="B51" s="3" t="s">
        <v>62</v>
      </c>
      <c r="G51" s="2" t="s">
        <v>60</v>
      </c>
    </row>
    <row r="52" spans="1:7" ht="13.5">
      <c r="A52" s="21" t="s">
        <v>88</v>
      </c>
      <c r="B52" s="3" t="s">
        <v>65</v>
      </c>
      <c r="G52" s="2" t="s">
        <v>63</v>
      </c>
    </row>
    <row r="53" spans="1:2" ht="13.5">
      <c r="A53" s="21" t="s">
        <v>89</v>
      </c>
      <c r="B53" s="3" t="s">
        <v>67</v>
      </c>
    </row>
    <row r="54" ht="13.5">
      <c r="A54" s="21"/>
    </row>
  </sheetData>
  <mergeCells count="29">
    <mergeCell ref="A1:B1"/>
    <mergeCell ref="D1:H1"/>
    <mergeCell ref="E8:F8"/>
    <mergeCell ref="E9:F9"/>
    <mergeCell ref="E4:F4"/>
    <mergeCell ref="E5:F5"/>
    <mergeCell ref="E6:F6"/>
    <mergeCell ref="E7:F7"/>
    <mergeCell ref="B27:C27"/>
    <mergeCell ref="C15:D15"/>
    <mergeCell ref="E16:F16"/>
    <mergeCell ref="B19:C19"/>
    <mergeCell ref="A43:D43"/>
    <mergeCell ref="F43:H43"/>
    <mergeCell ref="B31:C31"/>
    <mergeCell ref="E30:F30"/>
    <mergeCell ref="C41:J41"/>
    <mergeCell ref="B33:C33"/>
    <mergeCell ref="B30:C30"/>
    <mergeCell ref="B38:C38"/>
    <mergeCell ref="B39:C39"/>
    <mergeCell ref="K10:L10"/>
    <mergeCell ref="H30:I30"/>
    <mergeCell ref="A36:B36"/>
    <mergeCell ref="B29:C29"/>
    <mergeCell ref="E29:F29"/>
    <mergeCell ref="E10:F10"/>
    <mergeCell ref="E11:F11"/>
    <mergeCell ref="B23:C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54"/>
  <sheetViews>
    <sheetView tabSelected="1" zoomScaleSheetLayoutView="85" workbookViewId="0" topLeftCell="A1">
      <selection activeCell="L30" sqref="L30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9.00390625" style="3" customWidth="1"/>
    <col min="4" max="4" width="2.375" style="3" customWidth="1"/>
    <col min="5" max="5" width="4.625" style="3" customWidth="1"/>
    <col min="6" max="6" width="10.125" style="3" customWidth="1"/>
    <col min="7" max="7" width="9.00390625" style="3" customWidth="1"/>
    <col min="8" max="8" width="2.625" style="3" customWidth="1"/>
    <col min="9" max="9" width="4.625" style="3" customWidth="1"/>
    <col min="10" max="10" width="6.625" style="3" customWidth="1"/>
    <col min="11" max="11" width="2.875" style="3" customWidth="1"/>
    <col min="12" max="12" width="7.875" style="3" customWidth="1"/>
    <col min="13" max="13" width="1.625" style="3" customWidth="1"/>
    <col min="14" max="14" width="2.625" style="3" customWidth="1"/>
    <col min="15" max="16384" width="9.00390625" style="3" customWidth="1"/>
  </cols>
  <sheetData>
    <row r="1" spans="1:8" ht="14.25" thickBot="1">
      <c r="A1" s="80" t="s">
        <v>97</v>
      </c>
      <c r="B1" s="81"/>
      <c r="C1" s="2" t="s">
        <v>153</v>
      </c>
      <c r="D1" s="74"/>
      <c r="E1" s="75"/>
      <c r="F1" s="75"/>
      <c r="G1" s="75"/>
      <c r="H1" s="76"/>
    </row>
    <row r="2" spans="1:10" ht="14.25" thickBot="1">
      <c r="A2" s="4" t="s">
        <v>28</v>
      </c>
      <c r="C2" s="45" t="s">
        <v>154</v>
      </c>
      <c r="D2" s="46"/>
      <c r="E2" s="47" t="s">
        <v>90</v>
      </c>
      <c r="F2" s="48"/>
      <c r="G2" s="5"/>
      <c r="H2" s="3" t="s">
        <v>91</v>
      </c>
      <c r="J2" s="6" t="s">
        <v>98</v>
      </c>
    </row>
    <row r="3" ht="13.5">
      <c r="J3" s="2" t="s">
        <v>74</v>
      </c>
    </row>
    <row r="4" spans="3:8" ht="13.5">
      <c r="C4" s="7" t="s">
        <v>0</v>
      </c>
      <c r="D4" s="8"/>
      <c r="E4" s="61" t="s">
        <v>1</v>
      </c>
      <c r="F4" s="62"/>
      <c r="G4" s="10"/>
      <c r="H4" s="11" t="s">
        <v>32</v>
      </c>
    </row>
    <row r="5" spans="3:10" ht="13.5">
      <c r="C5" s="7" t="s">
        <v>2</v>
      </c>
      <c r="D5" s="8"/>
      <c r="E5" s="61" t="s">
        <v>3</v>
      </c>
      <c r="F5" s="62"/>
      <c r="G5" s="12"/>
      <c r="H5" s="11" t="s">
        <v>33</v>
      </c>
      <c r="J5" s="13" t="s">
        <v>75</v>
      </c>
    </row>
    <row r="6" spans="3:10" ht="13.5">
      <c r="C6" s="7" t="s">
        <v>4</v>
      </c>
      <c r="D6" s="8"/>
      <c r="E6" s="61" t="s">
        <v>5</v>
      </c>
      <c r="F6" s="62"/>
      <c r="G6" s="14" t="e">
        <f>L47</f>
        <v>#DIV/0!</v>
      </c>
      <c r="H6" s="15" t="s">
        <v>35</v>
      </c>
      <c r="J6" s="16"/>
    </row>
    <row r="7" spans="3:10" ht="13.5">
      <c r="C7" s="7" t="s">
        <v>6</v>
      </c>
      <c r="D7" s="8"/>
      <c r="E7" s="61"/>
      <c r="F7" s="62"/>
      <c r="G7" s="17" t="e">
        <f>ROUND(5.787804-1.964834*LOG(G5),2)</f>
        <v>#NUM!</v>
      </c>
      <c r="H7" s="11"/>
      <c r="J7" s="13" t="s">
        <v>76</v>
      </c>
    </row>
    <row r="8" spans="3:10" ht="13.5">
      <c r="C8" s="7" t="s">
        <v>7</v>
      </c>
      <c r="D8" s="8"/>
      <c r="E8" s="61"/>
      <c r="F8" s="62"/>
      <c r="G8" s="8" t="e">
        <f>ROUND(POWER(10,$G$7),2)</f>
        <v>#NUM!</v>
      </c>
      <c r="H8" s="11"/>
      <c r="J8" s="13" t="s">
        <v>37</v>
      </c>
    </row>
    <row r="9" spans="3:8" ht="13.5">
      <c r="C9" s="7" t="s">
        <v>8</v>
      </c>
      <c r="D9" s="8"/>
      <c r="E9" s="61"/>
      <c r="F9" s="62"/>
      <c r="G9" s="8" t="e">
        <f>ROUND(POWER((0.03345*POWER($G$5,-0.982417)+15954.1*POWER($G$5,-2.947251)/$G$4),-1),2)</f>
        <v>#DIV/0!</v>
      </c>
      <c r="H9" s="11"/>
    </row>
    <row r="10" spans="3:14" ht="13.5">
      <c r="C10" s="7" t="s">
        <v>9</v>
      </c>
      <c r="D10" s="8"/>
      <c r="E10" s="61"/>
      <c r="F10" s="62"/>
      <c r="G10" s="71" t="e">
        <f>B29</f>
        <v>#NUM!</v>
      </c>
      <c r="H10" s="11"/>
      <c r="J10" s="49" t="s">
        <v>38</v>
      </c>
      <c r="K10" s="93" t="e">
        <f>ROUND(G5/G6*100,0)</f>
        <v>#DIV/0!</v>
      </c>
      <c r="L10" s="93"/>
      <c r="M10" s="20"/>
      <c r="N10" s="20"/>
    </row>
    <row r="11" spans="3:14" ht="13.5">
      <c r="C11" s="7" t="s">
        <v>10</v>
      </c>
      <c r="D11" s="8"/>
      <c r="E11" s="61" t="s">
        <v>39</v>
      </c>
      <c r="F11" s="62"/>
      <c r="G11" s="68" t="e">
        <f>ROUND($G$9/$G$10,2)</f>
        <v>#DIV/0!</v>
      </c>
      <c r="H11" s="11"/>
      <c r="J11" s="20"/>
      <c r="K11" s="20"/>
      <c r="L11" s="20"/>
      <c r="M11" s="20"/>
      <c r="N11" s="20"/>
    </row>
    <row r="12" spans="1:14" ht="13.5">
      <c r="A12" s="21"/>
      <c r="B12" s="1"/>
      <c r="C12" s="1"/>
      <c r="E12" s="13"/>
      <c r="F12" s="13"/>
      <c r="H12" s="13"/>
      <c r="J12" s="20"/>
      <c r="K12" s="20"/>
      <c r="L12" s="20"/>
      <c r="M12" s="20"/>
      <c r="N12" s="20"/>
    </row>
    <row r="13" spans="1:14" ht="13.5">
      <c r="A13" s="21"/>
      <c r="B13" s="1"/>
      <c r="C13" s="9" t="s">
        <v>40</v>
      </c>
      <c r="D13" s="22"/>
      <c r="E13" s="23"/>
      <c r="F13" s="11"/>
      <c r="G13" s="24"/>
      <c r="H13" s="11"/>
      <c r="J13" s="20"/>
      <c r="K13" s="20"/>
      <c r="L13" s="20"/>
      <c r="M13" s="20"/>
      <c r="N13" s="20"/>
    </row>
    <row r="14" spans="1:14" ht="13.5">
      <c r="A14" s="21"/>
      <c r="B14" s="1"/>
      <c r="C14" s="25" t="s">
        <v>41</v>
      </c>
      <c r="D14" s="26"/>
      <c r="E14" s="27"/>
      <c r="F14" s="28" t="s">
        <v>42</v>
      </c>
      <c r="G14" s="29">
        <f>ROUND(G13*G4,0)</f>
        <v>0</v>
      </c>
      <c r="H14" s="28" t="s">
        <v>32</v>
      </c>
      <c r="I14" s="20"/>
      <c r="J14" s="20"/>
      <c r="K14" s="20"/>
      <c r="L14" s="20"/>
      <c r="M14" s="20"/>
      <c r="N14" s="20"/>
    </row>
    <row r="15" spans="1:14" ht="13.5">
      <c r="A15" s="21"/>
      <c r="B15" s="1"/>
      <c r="C15" s="83" t="s">
        <v>43</v>
      </c>
      <c r="D15" s="84"/>
      <c r="E15" s="27"/>
      <c r="F15" s="28" t="s">
        <v>42</v>
      </c>
      <c r="G15" s="29">
        <f>G4-G14</f>
        <v>0</v>
      </c>
      <c r="H15" s="28" t="s">
        <v>32</v>
      </c>
      <c r="I15" s="3" t="s">
        <v>44</v>
      </c>
      <c r="J15" s="20"/>
      <c r="K15" s="20"/>
      <c r="L15" s="20"/>
      <c r="M15" s="20"/>
      <c r="N15" s="20"/>
    </row>
    <row r="16" spans="3:8" ht="13.5">
      <c r="C16" s="9" t="s">
        <v>11</v>
      </c>
      <c r="D16" s="22"/>
      <c r="E16" s="61" t="s">
        <v>12</v>
      </c>
      <c r="F16" s="62"/>
      <c r="G16" s="68" t="e">
        <f>E41</f>
        <v>#DIV/0!</v>
      </c>
      <c r="H16" s="11"/>
    </row>
    <row r="18" spans="1:3" ht="13.5">
      <c r="A18" s="21" t="s">
        <v>13</v>
      </c>
      <c r="C18" s="3" t="s">
        <v>14</v>
      </c>
    </row>
    <row r="19" spans="1:3" ht="13.5">
      <c r="A19" s="21" t="s">
        <v>15</v>
      </c>
      <c r="B19" s="88" t="e">
        <f>G11</f>
        <v>#DIV/0!</v>
      </c>
      <c r="C19" s="89"/>
    </row>
    <row r="21" spans="1:14" ht="15.75">
      <c r="A21" s="21" t="s">
        <v>16</v>
      </c>
      <c r="B21" s="3" t="s">
        <v>17</v>
      </c>
      <c r="C21" s="3">
        <v>0.0334495</v>
      </c>
      <c r="D21" s="3" t="s">
        <v>18</v>
      </c>
      <c r="E21" s="1" t="s">
        <v>2</v>
      </c>
      <c r="F21" s="30">
        <v>-0.982417</v>
      </c>
      <c r="G21" s="55" t="s">
        <v>99</v>
      </c>
      <c r="H21" s="3" t="s">
        <v>18</v>
      </c>
      <c r="I21" s="1" t="s">
        <v>2</v>
      </c>
      <c r="J21" s="32">
        <v>-2.947251</v>
      </c>
      <c r="K21" s="3" t="s">
        <v>20</v>
      </c>
      <c r="L21" s="1" t="s">
        <v>0</v>
      </c>
      <c r="M21" s="3" t="s">
        <v>21</v>
      </c>
      <c r="N21" s="32">
        <v>-1</v>
      </c>
    </row>
    <row r="22" spans="1:14" ht="15.75">
      <c r="A22" s="33" t="s">
        <v>15</v>
      </c>
      <c r="B22" s="3" t="s">
        <v>17</v>
      </c>
      <c r="C22" s="3">
        <f>C21</f>
        <v>0.0334495</v>
      </c>
      <c r="D22" s="3" t="s">
        <v>18</v>
      </c>
      <c r="E22" s="34">
        <f>$G$5</f>
        <v>0</v>
      </c>
      <c r="F22" s="30">
        <f>F21</f>
        <v>-0.982417</v>
      </c>
      <c r="G22" s="31" t="str">
        <f>G21</f>
        <v>+15954.1</v>
      </c>
      <c r="H22" s="3" t="s">
        <v>18</v>
      </c>
      <c r="I22" s="34">
        <f>$G$5</f>
        <v>0</v>
      </c>
      <c r="J22" s="32">
        <f>J21</f>
        <v>-2.947251</v>
      </c>
      <c r="K22" s="3" t="s">
        <v>20</v>
      </c>
      <c r="L22" s="35">
        <f>G4</f>
        <v>0</v>
      </c>
      <c r="M22" s="3" t="s">
        <v>21</v>
      </c>
      <c r="N22" s="32">
        <v>-1</v>
      </c>
    </row>
    <row r="23" spans="1:3" ht="13.5">
      <c r="A23" s="33" t="s">
        <v>15</v>
      </c>
      <c r="B23" s="72" t="e">
        <f>G9</f>
        <v>#DIV/0!</v>
      </c>
      <c r="C23" s="72"/>
    </row>
    <row r="25" spans="1:14" ht="15.75">
      <c r="A25" s="50" t="s">
        <v>100</v>
      </c>
      <c r="B25" s="3" t="s">
        <v>17</v>
      </c>
      <c r="C25" s="3">
        <v>4.119712</v>
      </c>
      <c r="D25" s="56" t="s">
        <v>101</v>
      </c>
      <c r="E25" s="1">
        <v>0.5</v>
      </c>
      <c r="F25" s="57" t="s">
        <v>102</v>
      </c>
      <c r="G25" s="31"/>
      <c r="I25" s="1"/>
      <c r="J25" s="32"/>
      <c r="L25" s="1"/>
      <c r="N25" s="32"/>
    </row>
    <row r="26" spans="1:14" ht="15.75">
      <c r="A26" s="33" t="s">
        <v>15</v>
      </c>
      <c r="B26" s="3" t="s">
        <v>17</v>
      </c>
      <c r="C26" s="3">
        <f>C25</f>
        <v>4.119712</v>
      </c>
      <c r="D26" s="2" t="s">
        <v>103</v>
      </c>
      <c r="E26" s="34">
        <v>0.5</v>
      </c>
      <c r="F26" s="57" t="s">
        <v>104</v>
      </c>
      <c r="G26" s="58" t="e">
        <f>B33</f>
        <v>#NUM!</v>
      </c>
      <c r="H26" s="2" t="s">
        <v>105</v>
      </c>
      <c r="I26" s="34"/>
      <c r="J26" s="32"/>
      <c r="N26" s="32"/>
    </row>
    <row r="27" spans="1:3" ht="13.5">
      <c r="A27" s="33" t="s">
        <v>15</v>
      </c>
      <c r="B27" s="89" t="e">
        <f>4.119712-0.5*$G$7</f>
        <v>#NUM!</v>
      </c>
      <c r="C27" s="72"/>
    </row>
    <row r="28" spans="1:3" ht="13.5">
      <c r="A28" s="33"/>
      <c r="B28" s="69"/>
      <c r="C28" s="70"/>
    </row>
    <row r="29" spans="1:3" ht="13.5">
      <c r="A29" s="50" t="s">
        <v>152</v>
      </c>
      <c r="B29" s="96" t="e">
        <f>ROUND(POWER(10,B27),2)</f>
        <v>#NUM!</v>
      </c>
      <c r="C29" s="96"/>
    </row>
    <row r="31" spans="1:8" ht="13.5">
      <c r="A31" s="21" t="s">
        <v>23</v>
      </c>
      <c r="B31" s="81">
        <v>5.787804</v>
      </c>
      <c r="C31" s="81"/>
      <c r="D31" s="3" t="s">
        <v>24</v>
      </c>
      <c r="E31" s="81">
        <v>1.9648334</v>
      </c>
      <c r="F31" s="81"/>
      <c r="G31" s="3" t="s">
        <v>25</v>
      </c>
      <c r="H31" s="3" t="s">
        <v>2</v>
      </c>
    </row>
    <row r="32" spans="1:9" ht="13.5">
      <c r="A32" s="21" t="s">
        <v>15</v>
      </c>
      <c r="B32" s="81">
        <f>B31</f>
        <v>5.787804</v>
      </c>
      <c r="C32" s="81"/>
      <c r="D32" s="3" t="s">
        <v>24</v>
      </c>
      <c r="E32" s="81">
        <f>E31</f>
        <v>1.9648334</v>
      </c>
      <c r="F32" s="81"/>
      <c r="G32" s="3" t="s">
        <v>25</v>
      </c>
      <c r="H32" s="63">
        <f>G5</f>
        <v>0</v>
      </c>
      <c r="I32" s="85"/>
    </row>
    <row r="33" spans="1:3" ht="13.5">
      <c r="A33" s="21" t="s">
        <v>15</v>
      </c>
      <c r="B33" s="94" t="e">
        <f>G7</f>
        <v>#NUM!</v>
      </c>
      <c r="C33" s="81"/>
    </row>
    <row r="35" spans="1:3" ht="13.5">
      <c r="A35" s="21" t="s">
        <v>26</v>
      </c>
      <c r="B35" s="81" t="e">
        <f>$G$8</f>
        <v>#NUM!</v>
      </c>
      <c r="C35" s="81"/>
    </row>
    <row r="37" spans="1:5" ht="13.5">
      <c r="A37" s="37">
        <f>+G13</f>
        <v>0</v>
      </c>
      <c r="B37" s="3" t="s">
        <v>68</v>
      </c>
      <c r="E37" s="3" t="s">
        <v>69</v>
      </c>
    </row>
    <row r="38" spans="1:4" ht="13.5">
      <c r="A38" s="86" t="s">
        <v>145</v>
      </c>
      <c r="B38" s="87"/>
      <c r="C38" s="38">
        <f>$G$15</f>
        <v>0</v>
      </c>
      <c r="D38" s="3" t="s">
        <v>70</v>
      </c>
    </row>
    <row r="39" spans="1:14" ht="15.75">
      <c r="A39" s="50" t="s">
        <v>146</v>
      </c>
      <c r="B39" s="3" t="s">
        <v>17</v>
      </c>
      <c r="C39" s="3">
        <v>0.0334495</v>
      </c>
      <c r="D39" s="3" t="s">
        <v>18</v>
      </c>
      <c r="E39" s="1" t="s">
        <v>2</v>
      </c>
      <c r="F39" s="30">
        <v>-0.982417</v>
      </c>
      <c r="G39" s="55" t="s">
        <v>99</v>
      </c>
      <c r="H39" s="3" t="s">
        <v>18</v>
      </c>
      <c r="I39" s="1" t="s">
        <v>2</v>
      </c>
      <c r="J39" s="32">
        <v>-2.947251</v>
      </c>
      <c r="K39" s="3" t="s">
        <v>20</v>
      </c>
      <c r="L39" s="52" t="s">
        <v>147</v>
      </c>
      <c r="M39" s="3" t="s">
        <v>21</v>
      </c>
      <c r="N39" s="32">
        <v>-1</v>
      </c>
    </row>
    <row r="40" spans="1:14" ht="15.75">
      <c r="A40" s="50" t="s">
        <v>106</v>
      </c>
      <c r="B40" s="81" t="e">
        <f>ROUND(POWER((C39*POWER(G5,F39)+G39*POWER(G5,J39)/C38),-1),2)</f>
        <v>#DIV/0!</v>
      </c>
      <c r="C40" s="81"/>
      <c r="E40" s="1"/>
      <c r="F40" s="30"/>
      <c r="G40" s="59"/>
      <c r="I40" s="1"/>
      <c r="J40" s="32"/>
      <c r="L40" s="1"/>
      <c r="N40" s="32"/>
    </row>
    <row r="41" spans="1:14" ht="15.75">
      <c r="A41" s="50" t="s">
        <v>141</v>
      </c>
      <c r="B41" s="80" t="s">
        <v>142</v>
      </c>
      <c r="C41" s="81"/>
      <c r="D41" s="2" t="s">
        <v>106</v>
      </c>
      <c r="E41" s="64" t="e">
        <f>B40/B29</f>
        <v>#DIV/0!</v>
      </c>
      <c r="F41" s="30"/>
      <c r="G41" s="31"/>
      <c r="I41" s="34"/>
      <c r="J41" s="32"/>
      <c r="L41" s="39"/>
      <c r="N41" s="32"/>
    </row>
    <row r="43" spans="1:6" ht="13.5">
      <c r="A43" s="21"/>
      <c r="C43" s="56"/>
      <c r="D43" s="2"/>
      <c r="E43" s="92"/>
      <c r="F43" s="92"/>
    </row>
    <row r="44" spans="6:13" ht="13.5">
      <c r="F44" s="41"/>
      <c r="J44" s="42"/>
      <c r="K44" s="36"/>
      <c r="M44" s="1"/>
    </row>
    <row r="45" spans="1:12" ht="15.75">
      <c r="A45" s="50" t="s">
        <v>92</v>
      </c>
      <c r="B45" s="51" t="s">
        <v>93</v>
      </c>
      <c r="C45" s="95" t="s">
        <v>107</v>
      </c>
      <c r="D45" s="80"/>
      <c r="E45" s="80"/>
      <c r="F45" s="80"/>
      <c r="G45" s="80"/>
      <c r="H45" s="80"/>
      <c r="I45" s="80"/>
      <c r="J45" s="80"/>
      <c r="L45" s="3">
        <f>0.941865+0.349206*$G$5+0.095344*POWER($G$4,0.5)*$G$5/100</f>
        <v>0.941865</v>
      </c>
    </row>
    <row r="46" spans="1:12" ht="15.75">
      <c r="A46" s="80" t="s">
        <v>94</v>
      </c>
      <c r="B46" s="80"/>
      <c r="C46" s="80"/>
      <c r="D46" s="80"/>
      <c r="E46" s="3" t="e">
        <f>$G$9/$L$45</f>
        <v>#DIV/0!</v>
      </c>
      <c r="F46" s="80" t="s">
        <v>95</v>
      </c>
      <c r="G46" s="81"/>
      <c r="H46" s="81"/>
      <c r="I46" s="2"/>
      <c r="L46" s="3" t="e">
        <f>200*POWER(E46/(3.14*G4),0.5)</f>
        <v>#DIV/0!</v>
      </c>
    </row>
    <row r="47" spans="1:12" ht="15.75">
      <c r="A47" s="2" t="s">
        <v>108</v>
      </c>
      <c r="L47" s="44" t="e">
        <f>ROUND(0.0532+0.945564*$L$46-0.067716*POWER($G$4,0.5)*$G$5/100,2)</f>
        <v>#DIV/0!</v>
      </c>
    </row>
    <row r="48" spans="1:2" ht="13.5">
      <c r="A48" s="21" t="s">
        <v>96</v>
      </c>
      <c r="B48" s="3" t="s">
        <v>53</v>
      </c>
    </row>
    <row r="49" spans="1:7" ht="13.5">
      <c r="A49" s="21" t="s">
        <v>85</v>
      </c>
      <c r="B49" s="3" t="s">
        <v>56</v>
      </c>
      <c r="G49" s="2" t="s">
        <v>54</v>
      </c>
    </row>
    <row r="50" spans="1:7" ht="13.5">
      <c r="A50" s="21" t="s">
        <v>86</v>
      </c>
      <c r="B50" s="3" t="s">
        <v>59</v>
      </c>
      <c r="G50" s="2" t="s">
        <v>57</v>
      </c>
    </row>
    <row r="51" spans="1:7" ht="13.5">
      <c r="A51" s="21" t="s">
        <v>87</v>
      </c>
      <c r="B51" s="3" t="s">
        <v>62</v>
      </c>
      <c r="G51" s="2" t="s">
        <v>60</v>
      </c>
    </row>
    <row r="52" spans="1:7" ht="13.5">
      <c r="A52" s="21" t="s">
        <v>88</v>
      </c>
      <c r="B52" s="3" t="s">
        <v>65</v>
      </c>
      <c r="G52" s="2" t="s">
        <v>63</v>
      </c>
    </row>
    <row r="53" spans="1:2" ht="13.5">
      <c r="A53" s="21" t="s">
        <v>89</v>
      </c>
      <c r="B53" s="3" t="s">
        <v>67</v>
      </c>
    </row>
    <row r="54" ht="13.5">
      <c r="A54" s="21"/>
    </row>
  </sheetData>
  <mergeCells count="31">
    <mergeCell ref="A1:B1"/>
    <mergeCell ref="D1:H1"/>
    <mergeCell ref="E8:F8"/>
    <mergeCell ref="E9:F9"/>
    <mergeCell ref="E4:F4"/>
    <mergeCell ref="E5:F5"/>
    <mergeCell ref="E6:F6"/>
    <mergeCell ref="K10:L10"/>
    <mergeCell ref="C45:J45"/>
    <mergeCell ref="B31:C31"/>
    <mergeCell ref="E31:F31"/>
    <mergeCell ref="E10:F10"/>
    <mergeCell ref="E11:F11"/>
    <mergeCell ref="E43:F43"/>
    <mergeCell ref="B35:C35"/>
    <mergeCell ref="B23:C23"/>
    <mergeCell ref="B27:C27"/>
    <mergeCell ref="E7:F7"/>
    <mergeCell ref="B32:C32"/>
    <mergeCell ref="E32:F32"/>
    <mergeCell ref="C15:D15"/>
    <mergeCell ref="E16:F16"/>
    <mergeCell ref="B19:C19"/>
    <mergeCell ref="B29:C29"/>
    <mergeCell ref="H32:I32"/>
    <mergeCell ref="A38:B38"/>
    <mergeCell ref="A46:D46"/>
    <mergeCell ref="F46:H46"/>
    <mergeCell ref="B33:C33"/>
    <mergeCell ref="B40:C40"/>
    <mergeCell ref="B41:C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栗本</dc:creator>
  <cp:keywords/>
  <dc:description/>
  <cp:lastModifiedBy>栗本</cp:lastModifiedBy>
  <cp:lastPrinted>2011-08-16T07:15:10Z</cp:lastPrinted>
  <dcterms:created xsi:type="dcterms:W3CDTF">2009-08-03T11:23:52Z</dcterms:created>
  <dcterms:modified xsi:type="dcterms:W3CDTF">2011-08-25T05:59:27Z</dcterms:modified>
  <cp:category/>
  <cp:version/>
  <cp:contentType/>
  <cp:contentStatus/>
</cp:coreProperties>
</file>